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5. 15 ก.ค. 67\"/>
    </mc:Choice>
  </mc:AlternateContent>
  <xr:revisionPtr revIDLastSave="0" documentId="13_ncr:1_{96E7962E-3C8A-463A-B557-D64956379EF3}" xr6:coauthVersionLast="47" xr6:coauthVersionMax="47" xr10:uidLastSave="{00000000-0000-0000-0000-000000000000}"/>
  <bookViews>
    <workbookView xWindow="-120" yWindow="-120" windowWidth="24240" windowHeight="13020" firstSheet="5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5" l="1"/>
  <c r="M22" i="15"/>
  <c r="M19" i="15" s="1"/>
  <c r="N22" i="15"/>
  <c r="Q22" i="15"/>
  <c r="R22" i="15"/>
  <c r="S22" i="15"/>
  <c r="S19" i="15" s="1"/>
  <c r="L25" i="15"/>
  <c r="M25" i="15"/>
  <c r="N25" i="15"/>
  <c r="Q25" i="15"/>
  <c r="T25" i="15" s="1"/>
  <c r="R25" i="15"/>
  <c r="S25" i="15"/>
  <c r="L45" i="15"/>
  <c r="O45" i="15" s="1"/>
  <c r="M45" i="15"/>
  <c r="N45" i="15"/>
  <c r="Q45" i="15"/>
  <c r="Q44" i="15" s="1"/>
  <c r="T44" i="15" s="1"/>
  <c r="R45" i="15"/>
  <c r="U45" i="15" s="1"/>
  <c r="S45" i="15"/>
  <c r="T45" i="15"/>
  <c r="Q46" i="15"/>
  <c r="T46" i="15" s="1"/>
  <c r="R46" i="15"/>
  <c r="S46" i="15"/>
  <c r="U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N49" i="15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M52" i="15"/>
  <c r="N52" i="15"/>
  <c r="N50" i="15" s="1"/>
  <c r="T52" i="15"/>
  <c r="U52" i="15"/>
  <c r="L60" i="15"/>
  <c r="M60" i="15"/>
  <c r="N60" i="15"/>
  <c r="O60" i="15"/>
  <c r="Q60" i="15"/>
  <c r="Q59" i="15" s="1"/>
  <c r="T59" i="15" s="1"/>
  <c r="R60" i="15"/>
  <c r="R59" i="15" s="1"/>
  <c r="U59" i="15" s="1"/>
  <c r="S60" i="15"/>
  <c r="T60" i="15"/>
  <c r="U60" i="15"/>
  <c r="Q61" i="15"/>
  <c r="T61" i="15" s="1"/>
  <c r="R61" i="15"/>
  <c r="U61" i="15" s="1"/>
  <c r="S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M62" i="15" s="1"/>
  <c r="N64" i="15"/>
  <c r="T64" i="15"/>
  <c r="U64" i="15"/>
  <c r="Q65" i="15"/>
  <c r="R65" i="15"/>
  <c r="U65" i="15" s="1"/>
  <c r="S65" i="15"/>
  <c r="T65" i="15"/>
  <c r="O66" i="15"/>
  <c r="P66" i="15"/>
  <c r="T66" i="15"/>
  <c r="U66" i="15"/>
  <c r="L67" i="15"/>
  <c r="M67" i="15"/>
  <c r="N67" i="15"/>
  <c r="T67" i="15"/>
  <c r="U67" i="15"/>
  <c r="L73" i="15"/>
  <c r="M73" i="15"/>
  <c r="P73" i="15" s="1"/>
  <c r="N73" i="15"/>
  <c r="O73" i="15"/>
  <c r="Q73" i="15"/>
  <c r="T73" i="15" s="1"/>
  <c r="R73" i="15"/>
  <c r="S73" i="15"/>
  <c r="U73" i="15"/>
  <c r="O76" i="15"/>
  <c r="P76" i="15"/>
  <c r="T76" i="15"/>
  <c r="U76" i="15"/>
  <c r="L77" i="15"/>
  <c r="L75" i="15" s="1"/>
  <c r="M77" i="15"/>
  <c r="M75" i="15" s="1"/>
  <c r="N77" i="15"/>
  <c r="Q77" i="15"/>
  <c r="R77" i="15"/>
  <c r="S77" i="15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Q95" i="15"/>
  <c r="T95" i="15" s="1"/>
  <c r="R95" i="15"/>
  <c r="S95" i="15"/>
  <c r="O98" i="15"/>
  <c r="P98" i="15"/>
  <c r="T98" i="15"/>
  <c r="U98" i="15"/>
  <c r="L99" i="15"/>
  <c r="M99" i="15"/>
  <c r="N99" i="15"/>
  <c r="N97" i="15" s="1"/>
  <c r="Q99" i="15"/>
  <c r="R99" i="15"/>
  <c r="S99" i="15"/>
  <c r="Q100" i="15"/>
  <c r="T100" i="15" s="1"/>
  <c r="R100" i="15"/>
  <c r="U100" i="15" s="1"/>
  <c r="S100" i="15"/>
  <c r="O101" i="15"/>
  <c r="P101" i="15"/>
  <c r="T101" i="15"/>
  <c r="U101" i="15"/>
  <c r="L102" i="15"/>
  <c r="M102" i="15"/>
  <c r="N102" i="15"/>
  <c r="T102" i="15"/>
  <c r="U102" i="15"/>
  <c r="I108" i="15"/>
  <c r="I109" i="15"/>
  <c r="K109" i="15" s="1"/>
  <c r="I113" i="15"/>
  <c r="K113" i="15" s="1"/>
  <c r="I114" i="15"/>
  <c r="K114" i="15" s="1"/>
  <c r="J116" i="15"/>
  <c r="L118" i="15"/>
  <c r="M118" i="15"/>
  <c r="N118" i="15"/>
  <c r="O118" i="15"/>
  <c r="P118" i="15"/>
  <c r="Q118" i="15"/>
  <c r="R118" i="15"/>
  <c r="U118" i="15" s="1"/>
  <c r="S118" i="15"/>
  <c r="O121" i="15"/>
  <c r="P121" i="15"/>
  <c r="T121" i="15"/>
  <c r="U121" i="15"/>
  <c r="L122" i="15"/>
  <c r="M122" i="15"/>
  <c r="P122" i="15" s="1"/>
  <c r="N122" i="15"/>
  <c r="N120" i="15" s="1"/>
  <c r="Q122" i="15"/>
  <c r="R122" i="15"/>
  <c r="S122" i="15"/>
  <c r="S120" i="15" s="1"/>
  <c r="O124" i="15"/>
  <c r="P124" i="15"/>
  <c r="T124" i="15"/>
  <c r="U124" i="15"/>
  <c r="L125" i="15"/>
  <c r="M125" i="15"/>
  <c r="N125" i="15"/>
  <c r="N123" i="15" s="1"/>
  <c r="Q125" i="15"/>
  <c r="R125" i="15"/>
  <c r="S125" i="15"/>
  <c r="S123" i="15" s="1"/>
  <c r="I127" i="15"/>
  <c r="K127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P140" i="15"/>
  <c r="Q140" i="15"/>
  <c r="R140" i="15"/>
  <c r="S140" i="15"/>
  <c r="O143" i="15"/>
  <c r="P143" i="15"/>
  <c r="T143" i="15"/>
  <c r="U143" i="15"/>
  <c r="L144" i="15"/>
  <c r="L142" i="15" s="1"/>
  <c r="M144" i="15"/>
  <c r="N144" i="15"/>
  <c r="N142" i="15" s="1"/>
  <c r="Q144" i="15"/>
  <c r="Q142" i="15" s="1"/>
  <c r="R144" i="15"/>
  <c r="R142" i="15" s="1"/>
  <c r="S144" i="15"/>
  <c r="O146" i="15"/>
  <c r="P146" i="15"/>
  <c r="T146" i="15"/>
  <c r="U146" i="15"/>
  <c r="L147" i="15"/>
  <c r="L145" i="15" s="1"/>
  <c r="O145" i="15" s="1"/>
  <c r="M147" i="15"/>
  <c r="N147" i="15"/>
  <c r="N145" i="15" s="1"/>
  <c r="Q147" i="15"/>
  <c r="R147" i="15"/>
  <c r="S147" i="15"/>
  <c r="S145" i="15" s="1"/>
  <c r="I150" i="15"/>
  <c r="K150" i="15" s="1"/>
  <c r="I151" i="15"/>
  <c r="K151" i="15" s="1"/>
  <c r="I152" i="15"/>
  <c r="I137" i="15" s="1"/>
  <c r="K137" i="15" s="1"/>
  <c r="I153" i="15"/>
  <c r="K153" i="15" s="1"/>
  <c r="I154" i="15"/>
  <c r="I136" i="15" s="1"/>
  <c r="K136" i="15" s="1"/>
  <c r="J156" i="15"/>
  <c r="L158" i="15"/>
  <c r="M158" i="15"/>
  <c r="N158" i="15"/>
  <c r="P158" i="15"/>
  <c r="Q158" i="15"/>
  <c r="R158" i="15"/>
  <c r="S158" i="15"/>
  <c r="O161" i="15"/>
  <c r="P161" i="15"/>
  <c r="T161" i="15"/>
  <c r="U161" i="15"/>
  <c r="L162" i="15"/>
  <c r="M162" i="15"/>
  <c r="N162" i="15"/>
  <c r="Q162" i="15"/>
  <c r="R162" i="15"/>
  <c r="S162" i="15"/>
  <c r="Q163" i="15"/>
  <c r="R163" i="15"/>
  <c r="S163" i="15"/>
  <c r="T163" i="15"/>
  <c r="U163" i="15"/>
  <c r="O164" i="15"/>
  <c r="P164" i="15"/>
  <c r="T164" i="15"/>
  <c r="U164" i="15"/>
  <c r="L165" i="15"/>
  <c r="M165" i="15"/>
  <c r="N165" i="15"/>
  <c r="N163" i="15" s="1"/>
  <c r="T165" i="15"/>
  <c r="U165" i="15"/>
  <c r="I167" i="15"/>
  <c r="I168" i="15" s="1"/>
  <c r="K168" i="15" s="1"/>
  <c r="J172" i="15"/>
  <c r="L174" i="15"/>
  <c r="M174" i="15"/>
  <c r="N174" i="15"/>
  <c r="O174" i="15"/>
  <c r="P174" i="15"/>
  <c r="Q174" i="15"/>
  <c r="R174" i="15"/>
  <c r="S174" i="15"/>
  <c r="O177" i="15"/>
  <c r="P177" i="15"/>
  <c r="T177" i="15"/>
  <c r="U177" i="15"/>
  <c r="L178" i="15"/>
  <c r="M178" i="15"/>
  <c r="N178" i="15"/>
  <c r="N176" i="15" s="1"/>
  <c r="Q178" i="15"/>
  <c r="Q175" i="15" s="1"/>
  <c r="R178" i="15"/>
  <c r="R176" i="15" s="1"/>
  <c r="S178" i="15"/>
  <c r="S175" i="15" s="1"/>
  <c r="S173" i="15" s="1"/>
  <c r="Q179" i="15"/>
  <c r="R179" i="15"/>
  <c r="S179" i="15"/>
  <c r="T179" i="15"/>
  <c r="U179" i="15"/>
  <c r="O180" i="15"/>
  <c r="P180" i="15"/>
  <c r="T180" i="15"/>
  <c r="U180" i="15"/>
  <c r="L181" i="15"/>
  <c r="M181" i="15"/>
  <c r="P181" i="15" s="1"/>
  <c r="N181" i="15"/>
  <c r="N179" i="15" s="1"/>
  <c r="T181" i="15"/>
  <c r="U181" i="15"/>
  <c r="I183" i="15"/>
  <c r="K183" i="15" s="1"/>
  <c r="K184" i="15"/>
  <c r="L187" i="15"/>
  <c r="M187" i="15"/>
  <c r="N187" i="15"/>
  <c r="O187" i="15"/>
  <c r="P187" i="15"/>
  <c r="Q187" i="15"/>
  <c r="R187" i="15"/>
  <c r="S187" i="15"/>
  <c r="T187" i="15"/>
  <c r="U187" i="15"/>
  <c r="O190" i="15"/>
  <c r="P190" i="15"/>
  <c r="T190" i="15"/>
  <c r="U190" i="15"/>
  <c r="L191" i="15"/>
  <c r="L189" i="15" s="1"/>
  <c r="M191" i="15"/>
  <c r="N191" i="15"/>
  <c r="Q191" i="15"/>
  <c r="R191" i="15"/>
  <c r="R189" i="15" s="1"/>
  <c r="S191" i="15"/>
  <c r="S189" i="15" s="1"/>
  <c r="O193" i="15"/>
  <c r="P193" i="15"/>
  <c r="T193" i="15"/>
  <c r="U193" i="15"/>
  <c r="L194" i="15"/>
  <c r="O194" i="15" s="1"/>
  <c r="M194" i="15"/>
  <c r="M192" i="15" s="1"/>
  <c r="P192" i="15" s="1"/>
  <c r="N194" i="15"/>
  <c r="N192" i="15" s="1"/>
  <c r="Q194" i="15"/>
  <c r="T194" i="15" s="1"/>
  <c r="R194" i="15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K229" i="15" s="1"/>
  <c r="I230" i="15"/>
  <c r="K230" i="15" s="1"/>
  <c r="N233" i="15"/>
  <c r="N234" i="15"/>
  <c r="N235" i="15"/>
  <c r="N236" i="15"/>
  <c r="J238" i="15"/>
  <c r="I240" i="15"/>
  <c r="K240" i="15" s="1"/>
  <c r="J240" i="15"/>
  <c r="I241" i="15"/>
  <c r="K241" i="15" s="1"/>
  <c r="J241" i="15"/>
  <c r="J242" i="15"/>
  <c r="N243" i="15"/>
  <c r="P243" i="15"/>
  <c r="L244" i="15"/>
  <c r="L245" i="15"/>
  <c r="L246" i="15"/>
  <c r="L247" i="15"/>
  <c r="I249" i="15"/>
  <c r="K249" i="15" s="1"/>
  <c r="K251" i="15"/>
  <c r="K252" i="15"/>
  <c r="J253" i="15"/>
  <c r="N254" i="15"/>
  <c r="N232" i="15" s="1"/>
  <c r="P254" i="15"/>
  <c r="L255" i="15"/>
  <c r="L256" i="15"/>
  <c r="L257" i="15"/>
  <c r="L258" i="15"/>
  <c r="I260" i="15"/>
  <c r="K262" i="15"/>
  <c r="K263" i="15"/>
  <c r="J265" i="15"/>
  <c r="L267" i="15"/>
  <c r="M267" i="15"/>
  <c r="P267" i="15" s="1"/>
  <c r="N267" i="15"/>
  <c r="O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N271" i="15"/>
  <c r="N269" i="15" s="1"/>
  <c r="Q271" i="15"/>
  <c r="Q269" i="15" s="1"/>
  <c r="R271" i="15"/>
  <c r="R268" i="15" s="1"/>
  <c r="S271" i="15"/>
  <c r="Q272" i="15"/>
  <c r="T272" i="15" s="1"/>
  <c r="R272" i="15"/>
  <c r="U272" i="15" s="1"/>
  <c r="S272" i="15"/>
  <c r="O273" i="15"/>
  <c r="P273" i="15"/>
  <c r="T273" i="15"/>
  <c r="U273" i="15"/>
  <c r="L274" i="15"/>
  <c r="L272" i="15" s="1"/>
  <c r="O272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1" i="15"/>
  <c r="L283" i="15"/>
  <c r="O283" i="15" s="1"/>
  <c r="M283" i="15"/>
  <c r="N283" i="15"/>
  <c r="Q283" i="15"/>
  <c r="T283" i="15" s="1"/>
  <c r="R283" i="15"/>
  <c r="S283" i="15"/>
  <c r="Q284" i="15"/>
  <c r="R284" i="15"/>
  <c r="U284" i="15" s="1"/>
  <c r="S284" i="15"/>
  <c r="Q285" i="15"/>
  <c r="R285" i="15"/>
  <c r="U285" i="15" s="1"/>
  <c r="S285" i="15"/>
  <c r="T285" i="15"/>
  <c r="O286" i="15"/>
  <c r="P286" i="15"/>
  <c r="T286" i="15"/>
  <c r="U286" i="15"/>
  <c r="L287" i="15"/>
  <c r="L285" i="15" s="1"/>
  <c r="M287" i="15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L288" i="15" s="1"/>
  <c r="O288" i="15" s="1"/>
  <c r="M290" i="15"/>
  <c r="P290" i="15" s="1"/>
  <c r="N290" i="15"/>
  <c r="N288" i="15" s="1"/>
  <c r="T290" i="15"/>
  <c r="U290" i="15"/>
  <c r="I292" i="15"/>
  <c r="I281" i="15" s="1"/>
  <c r="K281" i="15" s="1"/>
  <c r="I293" i="15"/>
  <c r="J293" i="15"/>
  <c r="J280" i="15" s="1"/>
  <c r="I295" i="15"/>
  <c r="K295" i="15" s="1"/>
  <c r="I296" i="15"/>
  <c r="K296" i="15" s="1"/>
  <c r="J302" i="15"/>
  <c r="L304" i="15"/>
  <c r="M304" i="15"/>
  <c r="N304" i="15"/>
  <c r="O304" i="15"/>
  <c r="P304" i="15"/>
  <c r="Q304" i="15"/>
  <c r="T304" i="15" s="1"/>
  <c r="R304" i="15"/>
  <c r="S304" i="15"/>
  <c r="U304" i="15"/>
  <c r="O307" i="15"/>
  <c r="P307" i="15"/>
  <c r="T307" i="15"/>
  <c r="U307" i="15"/>
  <c r="L308" i="15"/>
  <c r="M308" i="15"/>
  <c r="N308" i="15"/>
  <c r="Q308" i="15"/>
  <c r="Q305" i="15" s="1"/>
  <c r="R308" i="15"/>
  <c r="S308" i="15"/>
  <c r="Q309" i="15"/>
  <c r="T309" i="15" s="1"/>
  <c r="R309" i="15"/>
  <c r="U309" i="15" s="1"/>
  <c r="S309" i="15"/>
  <c r="O310" i="15"/>
  <c r="P310" i="15"/>
  <c r="T310" i="15"/>
  <c r="U310" i="15"/>
  <c r="L311" i="15"/>
  <c r="M311" i="15"/>
  <c r="N311" i="15"/>
  <c r="N309" i="15" s="1"/>
  <c r="T311" i="15"/>
  <c r="U311" i="15"/>
  <c r="I314" i="15"/>
  <c r="I302" i="15" s="1"/>
  <c r="K302" i="15" s="1"/>
  <c r="J319" i="15"/>
  <c r="L321" i="15"/>
  <c r="O321" i="15" s="1"/>
  <c r="M321" i="15"/>
  <c r="N321" i="15"/>
  <c r="Q321" i="15"/>
  <c r="Q320" i="15" s="1"/>
  <c r="T320" i="15" s="1"/>
  <c r="R321" i="15"/>
  <c r="U321" i="15" s="1"/>
  <c r="S321" i="15"/>
  <c r="T321" i="15"/>
  <c r="Q322" i="15"/>
  <c r="T322" i="15" s="1"/>
  <c r="R322" i="15"/>
  <c r="U322" i="15" s="1"/>
  <c r="S322" i="15"/>
  <c r="Q323" i="15"/>
  <c r="T323" i="15" s="1"/>
  <c r="R323" i="15"/>
  <c r="U323" i="15" s="1"/>
  <c r="S323" i="15"/>
  <c r="O324" i="15"/>
  <c r="P324" i="15"/>
  <c r="T324" i="15"/>
  <c r="U324" i="15"/>
  <c r="L325" i="15"/>
  <c r="M325" i="15"/>
  <c r="M323" i="15" s="1"/>
  <c r="N325" i="15"/>
  <c r="N323" i="15" s="1"/>
  <c r="T325" i="15"/>
  <c r="U325" i="15"/>
  <c r="Q326" i="15"/>
  <c r="R326" i="15"/>
  <c r="S326" i="15"/>
  <c r="T326" i="15"/>
  <c r="U326" i="15"/>
  <c r="O327" i="15"/>
  <c r="P327" i="15"/>
  <c r="T327" i="15"/>
  <c r="U327" i="15"/>
  <c r="L328" i="15"/>
  <c r="M328" i="15"/>
  <c r="N328" i="15"/>
  <c r="N326" i="15" s="1"/>
  <c r="T328" i="15"/>
  <c r="U328" i="15"/>
  <c r="I330" i="15"/>
  <c r="S333" i="15"/>
  <c r="L334" i="15"/>
  <c r="M334" i="15"/>
  <c r="P334" i="15" s="1"/>
  <c r="N334" i="15"/>
  <c r="O334" i="15"/>
  <c r="Q334" i="15"/>
  <c r="R334" i="15"/>
  <c r="U334" i="15" s="1"/>
  <c r="S334" i="15"/>
  <c r="Q335" i="15"/>
  <c r="T335" i="15" s="1"/>
  <c r="R335" i="15"/>
  <c r="U335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M338" i="15"/>
  <c r="M336" i="15" s="1"/>
  <c r="N338" i="15"/>
  <c r="N336" i="15" s="1"/>
  <c r="T338" i="15"/>
  <c r="U338" i="15"/>
  <c r="Q339" i="15"/>
  <c r="R339" i="15"/>
  <c r="S339" i="15"/>
  <c r="T339" i="15"/>
  <c r="U339" i="15"/>
  <c r="O340" i="15"/>
  <c r="P340" i="15"/>
  <c r="T340" i="15"/>
  <c r="U340" i="15"/>
  <c r="L341" i="15"/>
  <c r="O341" i="15" s="1"/>
  <c r="M341" i="15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L357" i="15"/>
  <c r="M357" i="15"/>
  <c r="P357" i="15" s="1"/>
  <c r="N357" i="15"/>
  <c r="Q357" i="15"/>
  <c r="R357" i="15"/>
  <c r="S357" i="15"/>
  <c r="S356" i="15" s="1"/>
  <c r="Q358" i="15"/>
  <c r="R358" i="15"/>
  <c r="S358" i="15"/>
  <c r="T358" i="15"/>
  <c r="U358" i="15"/>
  <c r="Q359" i="15"/>
  <c r="T359" i="15" s="1"/>
  <c r="R359" i="15"/>
  <c r="U359" i="15" s="1"/>
  <c r="S359" i="15"/>
  <c r="O360" i="15"/>
  <c r="P360" i="15"/>
  <c r="T360" i="15"/>
  <c r="U360" i="15"/>
  <c r="L361" i="15"/>
  <c r="M361" i="15"/>
  <c r="M359" i="15" s="1"/>
  <c r="N361" i="15"/>
  <c r="T361" i="15"/>
  <c r="U361" i="15"/>
  <c r="Q362" i="15"/>
  <c r="R362" i="15"/>
  <c r="U362" i="15" s="1"/>
  <c r="S362" i="15"/>
  <c r="T362" i="15"/>
  <c r="O363" i="15"/>
  <c r="P363" i="15"/>
  <c r="T363" i="15"/>
  <c r="U363" i="15"/>
  <c r="L364" i="15"/>
  <c r="O364" i="15" s="1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65" i="15" s="1"/>
  <c r="J372" i="15"/>
  <c r="K372" i="15"/>
  <c r="D373" i="15"/>
  <c r="L376" i="15"/>
  <c r="M376" i="15"/>
  <c r="N376" i="15"/>
  <c r="O376" i="15"/>
  <c r="Q376" i="15"/>
  <c r="R376" i="15"/>
  <c r="S376" i="15"/>
  <c r="U376" i="15"/>
  <c r="O379" i="15"/>
  <c r="P379" i="15"/>
  <c r="T379" i="15"/>
  <c r="U379" i="15"/>
  <c r="L380" i="15"/>
  <c r="M380" i="15"/>
  <c r="M378" i="15" s="1"/>
  <c r="P378" i="15" s="1"/>
  <c r="N380" i="15"/>
  <c r="N378" i="15" s="1"/>
  <c r="Q380" i="15"/>
  <c r="R380" i="15"/>
  <c r="R378" i="15" s="1"/>
  <c r="S380" i="15"/>
  <c r="S378" i="15" s="1"/>
  <c r="Q381" i="15"/>
  <c r="R381" i="15"/>
  <c r="U381" i="15" s="1"/>
  <c r="S381" i="15"/>
  <c r="T381" i="15"/>
  <c r="O382" i="15"/>
  <c r="P382" i="15"/>
  <c r="T382" i="15"/>
  <c r="U382" i="15"/>
  <c r="L383" i="15"/>
  <c r="O383" i="15" s="1"/>
  <c r="M383" i="15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J391" i="15"/>
  <c r="K391" i="15"/>
  <c r="M392" i="15"/>
  <c r="P392" i="15" s="1"/>
  <c r="L393" i="15"/>
  <c r="M393" i="15"/>
  <c r="N393" i="15"/>
  <c r="P393" i="15"/>
  <c r="Q393" i="15"/>
  <c r="T393" i="15" s="1"/>
  <c r="R393" i="15"/>
  <c r="S393" i="15"/>
  <c r="L394" i="15"/>
  <c r="M394" i="15"/>
  <c r="P394" i="15" s="1"/>
  <c r="N394" i="15"/>
  <c r="N392" i="15" s="1"/>
  <c r="O394" i="15"/>
  <c r="L395" i="15"/>
  <c r="M395" i="15"/>
  <c r="P395" i="15" s="1"/>
  <c r="N395" i="15"/>
  <c r="O395" i="15"/>
  <c r="O396" i="15"/>
  <c r="P396" i="15"/>
  <c r="T396" i="15"/>
  <c r="U396" i="15"/>
  <c r="O397" i="15"/>
  <c r="P397" i="15"/>
  <c r="Q397" i="15"/>
  <c r="R397" i="15"/>
  <c r="S397" i="15"/>
  <c r="S395" i="15" s="1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N414" i="15"/>
  <c r="O414" i="15"/>
  <c r="P414" i="15"/>
  <c r="Q414" i="15"/>
  <c r="T414" i="15" s="1"/>
  <c r="R414" i="15"/>
  <c r="S414" i="15"/>
  <c r="U414" i="15"/>
  <c r="O417" i="15"/>
  <c r="P417" i="15"/>
  <c r="T417" i="15"/>
  <c r="U417" i="15"/>
  <c r="L418" i="15"/>
  <c r="L416" i="15" s="1"/>
  <c r="M418" i="15"/>
  <c r="M416" i="15" s="1"/>
  <c r="N418" i="15"/>
  <c r="N416" i="15" s="1"/>
  <c r="Q418" i="15"/>
  <c r="Q415" i="15" s="1"/>
  <c r="R418" i="15"/>
  <c r="R416" i="15" s="1"/>
  <c r="S418" i="15"/>
  <c r="S415" i="15" s="1"/>
  <c r="S413" i="15" s="1"/>
  <c r="Q419" i="15"/>
  <c r="T419" i="15" s="1"/>
  <c r="R419" i="15"/>
  <c r="U419" i="15" s="1"/>
  <c r="S419" i="15"/>
  <c r="O420" i="15"/>
  <c r="P420" i="15"/>
  <c r="T420" i="15"/>
  <c r="U420" i="15"/>
  <c r="L421" i="15"/>
  <c r="L419" i="15" s="1"/>
  <c r="O419" i="15" s="1"/>
  <c r="M421" i="15"/>
  <c r="P421" i="15" s="1"/>
  <c r="N421" i="15"/>
  <c r="N419" i="15" s="1"/>
  <c r="T421" i="15"/>
  <c r="U421" i="15"/>
  <c r="I424" i="15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J440" i="15"/>
  <c r="J423" i="15" s="1"/>
  <c r="J412" i="15" s="1"/>
  <c r="I441" i="15"/>
  <c r="J446" i="15"/>
  <c r="J447" i="15"/>
  <c r="J441" i="15" s="1"/>
  <c r="I457" i="15"/>
  <c r="I456" i="15" s="1"/>
  <c r="I458" i="15"/>
  <c r="K458" i="15" s="1"/>
  <c r="J459" i="15"/>
  <c r="J460" i="15"/>
  <c r="J467" i="15"/>
  <c r="J457" i="15" s="1"/>
  <c r="J468" i="15"/>
  <c r="J475" i="15"/>
  <c r="K475" i="15"/>
  <c r="J476" i="15"/>
  <c r="K476" i="15"/>
  <c r="J477" i="15"/>
  <c r="K477" i="15"/>
  <c r="I484" i="15"/>
  <c r="K484" i="15" s="1"/>
  <c r="J484" i="15"/>
  <c r="I485" i="15"/>
  <c r="J485" i="15"/>
  <c r="L494" i="15"/>
  <c r="O494" i="15" s="1"/>
  <c r="M494" i="15"/>
  <c r="P494" i="15" s="1"/>
  <c r="N494" i="15"/>
  <c r="Q494" i="15"/>
  <c r="R494" i="15"/>
  <c r="S494" i="15"/>
  <c r="T494" i="15"/>
  <c r="O497" i="15"/>
  <c r="P497" i="15"/>
  <c r="T497" i="15"/>
  <c r="U497" i="15"/>
  <c r="L498" i="15"/>
  <c r="M498" i="15"/>
  <c r="M496" i="15" s="1"/>
  <c r="N498" i="15"/>
  <c r="N496" i="15" s="1"/>
  <c r="Q498" i="15"/>
  <c r="Q495" i="15" s="1"/>
  <c r="R498" i="15"/>
  <c r="R495" i="15" s="1"/>
  <c r="S498" i="15"/>
  <c r="Q499" i="15"/>
  <c r="T499" i="15" s="1"/>
  <c r="R499" i="15"/>
  <c r="U499" i="15" s="1"/>
  <c r="S499" i="15"/>
  <c r="O500" i="15"/>
  <c r="P500" i="15"/>
  <c r="T500" i="15"/>
  <c r="U500" i="15"/>
  <c r="L501" i="15"/>
  <c r="L499" i="15" s="1"/>
  <c r="O499" i="15" s="1"/>
  <c r="M501" i="15"/>
  <c r="N501" i="15"/>
  <c r="N499" i="15" s="1"/>
  <c r="T501" i="15"/>
  <c r="U501" i="15"/>
  <c r="I503" i="15"/>
  <c r="I492" i="15" s="1"/>
  <c r="J503" i="15"/>
  <c r="J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J512" i="15"/>
  <c r="K512" i="15"/>
  <c r="Q513" i="15"/>
  <c r="T513" i="15" s="1"/>
  <c r="L514" i="15"/>
  <c r="M514" i="15"/>
  <c r="N514" i="15"/>
  <c r="Q514" i="15"/>
  <c r="T514" i="15" s="1"/>
  <c r="R514" i="15"/>
  <c r="S514" i="15"/>
  <c r="S513" i="15" s="1"/>
  <c r="Q515" i="15"/>
  <c r="R515" i="15"/>
  <c r="S515" i="15"/>
  <c r="T515" i="15"/>
  <c r="U515" i="15"/>
  <c r="Q516" i="15"/>
  <c r="T516" i="15" s="1"/>
  <c r="R516" i="15"/>
  <c r="S516" i="15"/>
  <c r="U516" i="15"/>
  <c r="O517" i="15"/>
  <c r="P517" i="15"/>
  <c r="T517" i="15"/>
  <c r="U517" i="15"/>
  <c r="L518" i="15"/>
  <c r="M518" i="15"/>
  <c r="N518" i="15"/>
  <c r="N516" i="15" s="1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M521" i="15"/>
  <c r="P521" i="15" s="1"/>
  <c r="N521" i="15"/>
  <c r="N519" i="15" s="1"/>
  <c r="T521" i="15"/>
  <c r="U521" i="15"/>
  <c r="K523" i="15"/>
  <c r="K524" i="15"/>
  <c r="I533" i="15"/>
  <c r="K533" i="15" s="1"/>
  <c r="J533" i="15"/>
  <c r="L535" i="15"/>
  <c r="O535" i="15" s="1"/>
  <c r="M535" i="15"/>
  <c r="N535" i="15"/>
  <c r="Q535" i="15"/>
  <c r="Q534" i="15" s="1"/>
  <c r="T534" i="15" s="1"/>
  <c r="R535" i="15"/>
  <c r="U535" i="15" s="1"/>
  <c r="S535" i="15"/>
  <c r="S534" i="15" s="1"/>
  <c r="T535" i="15"/>
  <c r="Q536" i="15"/>
  <c r="T536" i="15" s="1"/>
  <c r="R536" i="15"/>
  <c r="S536" i="15"/>
  <c r="Q537" i="15"/>
  <c r="T537" i="15" s="1"/>
  <c r="R537" i="15"/>
  <c r="U537" i="15" s="1"/>
  <c r="S537" i="15"/>
  <c r="O538" i="15"/>
  <c r="P538" i="15"/>
  <c r="T538" i="15"/>
  <c r="U538" i="15"/>
  <c r="L539" i="15"/>
  <c r="L537" i="15" s="1"/>
  <c r="O537" i="15" s="1"/>
  <c r="M539" i="15"/>
  <c r="M537" i="15" s="1"/>
  <c r="P537" i="15" s="1"/>
  <c r="N539" i="15"/>
  <c r="T539" i="15"/>
  <c r="U539" i="15"/>
  <c r="Q540" i="15"/>
  <c r="R540" i="15"/>
  <c r="S540" i="15"/>
  <c r="T540" i="15"/>
  <c r="U540" i="15"/>
  <c r="O541" i="15"/>
  <c r="P541" i="15"/>
  <c r="T541" i="15"/>
  <c r="U541" i="15"/>
  <c r="L542" i="15"/>
  <c r="M542" i="15"/>
  <c r="N542" i="15"/>
  <c r="N540" i="15" s="1"/>
  <c r="T542" i="15"/>
  <c r="U542" i="15"/>
  <c r="I554" i="15"/>
  <c r="K554" i="15" s="1"/>
  <c r="J554" i="15"/>
  <c r="L556" i="15"/>
  <c r="O556" i="15" s="1"/>
  <c r="M556" i="15"/>
  <c r="N556" i="15"/>
  <c r="P556" i="15"/>
  <c r="Q556" i="15"/>
  <c r="R556" i="15"/>
  <c r="S556" i="15"/>
  <c r="U556" i="15"/>
  <c r="Q557" i="15"/>
  <c r="T557" i="15" s="1"/>
  <c r="R557" i="15"/>
  <c r="S557" i="15"/>
  <c r="Q558" i="15"/>
  <c r="R558" i="15"/>
  <c r="S558" i="15"/>
  <c r="T558" i="15"/>
  <c r="U558" i="15"/>
  <c r="O559" i="15"/>
  <c r="P559" i="15"/>
  <c r="T559" i="15"/>
  <c r="U559" i="15"/>
  <c r="L560" i="15"/>
  <c r="M560" i="15"/>
  <c r="N560" i="15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L561" i="15" s="1"/>
  <c r="O561" i="15" s="1"/>
  <c r="M563" i="15"/>
  <c r="M561" i="15" s="1"/>
  <c r="P561" i="15" s="1"/>
  <c r="N563" i="15"/>
  <c r="N561" i="15" s="1"/>
  <c r="T563" i="15"/>
  <c r="U563" i="15"/>
  <c r="I575" i="15"/>
  <c r="J575" i="15"/>
  <c r="K575" i="15"/>
  <c r="L577" i="15"/>
  <c r="O577" i="15" s="1"/>
  <c r="M577" i="15"/>
  <c r="N577" i="15"/>
  <c r="Q577" i="15"/>
  <c r="T577" i="15" s="1"/>
  <c r="R577" i="15"/>
  <c r="S577" i="15"/>
  <c r="Q578" i="15"/>
  <c r="R578" i="15"/>
  <c r="U578" i="15" s="1"/>
  <c r="S578" i="15"/>
  <c r="T578" i="15"/>
  <c r="Q579" i="15"/>
  <c r="T579" i="15" s="1"/>
  <c r="R579" i="15"/>
  <c r="U579" i="15" s="1"/>
  <c r="S579" i="15"/>
  <c r="O580" i="15"/>
  <c r="P580" i="15"/>
  <c r="T580" i="15"/>
  <c r="U580" i="15"/>
  <c r="L581" i="15"/>
  <c r="M581" i="15"/>
  <c r="N581" i="15"/>
  <c r="N579" i="15" s="1"/>
  <c r="T581" i="15"/>
  <c r="U581" i="15"/>
  <c r="Q582" i="15"/>
  <c r="T582" i="15" s="1"/>
  <c r="R582" i="15"/>
  <c r="S582" i="15"/>
  <c r="U582" i="15"/>
  <c r="O583" i="15"/>
  <c r="P583" i="15"/>
  <c r="T583" i="15"/>
  <c r="U583" i="15"/>
  <c r="L584" i="15"/>
  <c r="M584" i="15"/>
  <c r="N584" i="15"/>
  <c r="N582" i="15" s="1"/>
  <c r="T584" i="15"/>
  <c r="U584" i="15"/>
  <c r="K586" i="15"/>
  <c r="K587" i="15"/>
  <c r="L600" i="15"/>
  <c r="M600" i="15"/>
  <c r="P600" i="15" s="1"/>
  <c r="N600" i="15"/>
  <c r="Q600" i="15"/>
  <c r="R600" i="15"/>
  <c r="S600" i="15"/>
  <c r="O603" i="15"/>
  <c r="P603" i="15"/>
  <c r="T603" i="15"/>
  <c r="U603" i="15"/>
  <c r="L604" i="15"/>
  <c r="O604" i="15" s="1"/>
  <c r="M604" i="15"/>
  <c r="N604" i="15"/>
  <c r="N602" i="15" s="1"/>
  <c r="Q604" i="15"/>
  <c r="R604" i="15"/>
  <c r="S604" i="15"/>
  <c r="S602" i="15" s="1"/>
  <c r="O606" i="15"/>
  <c r="P606" i="15"/>
  <c r="T606" i="15"/>
  <c r="U606" i="15"/>
  <c r="L607" i="15"/>
  <c r="M607" i="15"/>
  <c r="N607" i="15"/>
  <c r="N605" i="15" s="1"/>
  <c r="Q607" i="15"/>
  <c r="Q605" i="15" s="1"/>
  <c r="T605" i="15" s="1"/>
  <c r="R607" i="15"/>
  <c r="U607" i="15" s="1"/>
  <c r="S607" i="15"/>
  <c r="S605" i="15" s="1"/>
  <c r="L616" i="15"/>
  <c r="O616" i="15" s="1"/>
  <c r="L617" i="15"/>
  <c r="M617" i="15"/>
  <c r="P617" i="15" s="1"/>
  <c r="N617" i="15"/>
  <c r="O617" i="15"/>
  <c r="Q617" i="15"/>
  <c r="T617" i="15" s="1"/>
  <c r="R617" i="15"/>
  <c r="U617" i="15" s="1"/>
  <c r="S617" i="15"/>
  <c r="L618" i="15"/>
  <c r="O618" i="15" s="1"/>
  <c r="M618" i="15"/>
  <c r="P618" i="15" s="1"/>
  <c r="N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9" i="15" s="1"/>
  <c r="R621" i="15"/>
  <c r="R618" i="15" s="1"/>
  <c r="S621" i="15"/>
  <c r="S618" i="15" s="1"/>
  <c r="S616" i="15" s="1"/>
  <c r="L622" i="15"/>
  <c r="O622" i="15" s="1"/>
  <c r="M622" i="15"/>
  <c r="N622" i="15"/>
  <c r="P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K632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M643" i="15"/>
  <c r="N643" i="15"/>
  <c r="N642" i="15" s="1"/>
  <c r="Q643" i="15"/>
  <c r="R643" i="15"/>
  <c r="U643" i="15" s="1"/>
  <c r="S643" i="15"/>
  <c r="T643" i="15"/>
  <c r="L644" i="15"/>
  <c r="O644" i="15" s="1"/>
  <c r="M644" i="15"/>
  <c r="P644" i="15" s="1"/>
  <c r="N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4" i="15" s="1"/>
  <c r="T644" i="15" s="1"/>
  <c r="R647" i="15"/>
  <c r="S647" i="15"/>
  <c r="L648" i="15"/>
  <c r="M648" i="15"/>
  <c r="P648" i="15" s="1"/>
  <c r="N648" i="15"/>
  <c r="O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O691" i="15" s="1"/>
  <c r="M691" i="15"/>
  <c r="N691" i="15"/>
  <c r="N690" i="15" s="1"/>
  <c r="Q691" i="15"/>
  <c r="T691" i="15" s="1"/>
  <c r="R691" i="15"/>
  <c r="U691" i="15" s="1"/>
  <c r="S691" i="15"/>
  <c r="L692" i="15"/>
  <c r="L690" i="15" s="1"/>
  <c r="O690" i="15" s="1"/>
  <c r="M692" i="15"/>
  <c r="N692" i="15"/>
  <c r="P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2" i="15" s="1"/>
  <c r="Q690" i="15" s="1"/>
  <c r="R695" i="15"/>
  <c r="S695" i="15"/>
  <c r="L696" i="15"/>
  <c r="O696" i="15" s="1"/>
  <c r="M696" i="15"/>
  <c r="P696" i="15" s="1"/>
  <c r="N696" i="15"/>
  <c r="Q696" i="15"/>
  <c r="R696" i="15"/>
  <c r="S696" i="15"/>
  <c r="T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K703" i="15" s="1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O715" i="15" s="1"/>
  <c r="M715" i="15"/>
  <c r="P715" i="15" s="1"/>
  <c r="N715" i="15"/>
  <c r="Q715" i="15"/>
  <c r="R715" i="15"/>
  <c r="U715" i="15" s="1"/>
  <c r="S715" i="15"/>
  <c r="L716" i="15"/>
  <c r="O716" i="15" s="1"/>
  <c r="M716" i="15"/>
  <c r="N716" i="15"/>
  <c r="N714" i="15" s="1"/>
  <c r="Q716" i="15"/>
  <c r="T716" i="15" s="1"/>
  <c r="R716" i="15"/>
  <c r="U716" i="15" s="1"/>
  <c r="S716" i="15"/>
  <c r="L717" i="15"/>
  <c r="M717" i="15"/>
  <c r="P717" i="15" s="1"/>
  <c r="N717" i="15"/>
  <c r="O717" i="15"/>
  <c r="Q717" i="15"/>
  <c r="R717" i="15"/>
  <c r="S717" i="15"/>
  <c r="T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R720" i="15"/>
  <c r="S720" i="15"/>
  <c r="T720" i="15"/>
  <c r="U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L729" i="15"/>
  <c r="M729" i="15"/>
  <c r="N729" i="15"/>
  <c r="O729" i="15"/>
  <c r="P729" i="15"/>
  <c r="Q729" i="15"/>
  <c r="R729" i="15"/>
  <c r="S729" i="15"/>
  <c r="T729" i="15"/>
  <c r="U729" i="15"/>
  <c r="L730" i="15"/>
  <c r="O730" i="15" s="1"/>
  <c r="M730" i="15"/>
  <c r="N730" i="15"/>
  <c r="P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1" i="15" s="1"/>
  <c r="R733" i="15"/>
  <c r="S733" i="15"/>
  <c r="S731" i="15" s="1"/>
  <c r="L734" i="15"/>
  <c r="M734" i="15"/>
  <c r="N734" i="15"/>
  <c r="O734" i="15"/>
  <c r="P734" i="15"/>
  <c r="Q734" i="15"/>
  <c r="R734" i="15"/>
  <c r="S734" i="15"/>
  <c r="T734" i="15"/>
  <c r="U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N761" i="15"/>
  <c r="Q761" i="15"/>
  <c r="R761" i="15"/>
  <c r="S761" i="15"/>
  <c r="L762" i="15"/>
  <c r="O762" i="15" s="1"/>
  <c r="M762" i="15"/>
  <c r="N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3" i="15" s="1"/>
  <c r="R765" i="15"/>
  <c r="R762" i="15" s="1"/>
  <c r="S765" i="15"/>
  <c r="L766" i="15"/>
  <c r="O766" i="15" s="1"/>
  <c r="M766" i="15"/>
  <c r="N766" i="15"/>
  <c r="P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K772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O22" i="14" s="1"/>
  <c r="M22" i="14"/>
  <c r="N22" i="14"/>
  <c r="Q22" i="14"/>
  <c r="T22" i="14" s="1"/>
  <c r="R22" i="14"/>
  <c r="U22" i="14" s="1"/>
  <c r="S22" i="14"/>
  <c r="L25" i="14"/>
  <c r="M25" i="14"/>
  <c r="N25" i="14"/>
  <c r="O25" i="14"/>
  <c r="Q25" i="14"/>
  <c r="T25" i="14" s="1"/>
  <c r="R25" i="14"/>
  <c r="S25" i="14"/>
  <c r="L45" i="14"/>
  <c r="O45" i="14" s="1"/>
  <c r="M45" i="14"/>
  <c r="N45" i="14"/>
  <c r="Q45" i="14"/>
  <c r="R45" i="14"/>
  <c r="U45" i="14" s="1"/>
  <c r="S45" i="14"/>
  <c r="T45" i="14"/>
  <c r="Q46" i="14"/>
  <c r="T46" i="14" s="1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T50" i="14" s="1"/>
  <c r="R50" i="14"/>
  <c r="S50" i="14"/>
  <c r="U50" i="14"/>
  <c r="O51" i="14"/>
  <c r="P51" i="14"/>
  <c r="T51" i="14"/>
  <c r="U51" i="14"/>
  <c r="L52" i="14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S59" i="14" s="1"/>
  <c r="T60" i="14"/>
  <c r="Q61" i="14"/>
  <c r="R61" i="14"/>
  <c r="U61" i="14" s="1"/>
  <c r="S61" i="14"/>
  <c r="T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M62" i="14" s="1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O67" i="14" s="1"/>
  <c r="M67" i="14"/>
  <c r="N67" i="14"/>
  <c r="N65" i="14" s="1"/>
  <c r="T67" i="14"/>
  <c r="U67" i="14"/>
  <c r="L73" i="14"/>
  <c r="O73" i="14" s="1"/>
  <c r="M73" i="14"/>
  <c r="N73" i="14"/>
  <c r="P73" i="14"/>
  <c r="Q73" i="14"/>
  <c r="T73" i="14" s="1"/>
  <c r="R73" i="14"/>
  <c r="U73" i="14" s="1"/>
  <c r="S73" i="14"/>
  <c r="O76" i="14"/>
  <c r="P76" i="14"/>
  <c r="T76" i="14"/>
  <c r="U76" i="14"/>
  <c r="L77" i="14"/>
  <c r="M77" i="14"/>
  <c r="N77" i="14"/>
  <c r="N75" i="14" s="1"/>
  <c r="Q77" i="14"/>
  <c r="T77" i="14" s="1"/>
  <c r="R77" i="14"/>
  <c r="R75" i="14" s="1"/>
  <c r="U75" i="14" s="1"/>
  <c r="S77" i="14"/>
  <c r="S75" i="14" s="1"/>
  <c r="O79" i="14"/>
  <c r="P79" i="14"/>
  <c r="T79" i="14"/>
  <c r="U79" i="14"/>
  <c r="L80" i="14"/>
  <c r="O80" i="14" s="1"/>
  <c r="M80" i="14"/>
  <c r="M78" i="14" s="1"/>
  <c r="P78" i="14" s="1"/>
  <c r="N80" i="14"/>
  <c r="N78" i="14" s="1"/>
  <c r="Q80" i="14"/>
  <c r="T80" i="14" s="1"/>
  <c r="R80" i="14"/>
  <c r="R78" i="14" s="1"/>
  <c r="U78" i="14" s="1"/>
  <c r="S80" i="14"/>
  <c r="S78" i="14" s="1"/>
  <c r="J82" i="14"/>
  <c r="J70" i="14" s="1"/>
  <c r="J83" i="14"/>
  <c r="J71" i="14" s="1"/>
  <c r="I84" i="14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T95" i="14"/>
  <c r="O98" i="14"/>
  <c r="P98" i="14"/>
  <c r="T98" i="14"/>
  <c r="U98" i="14"/>
  <c r="L99" i="14"/>
  <c r="M99" i="14"/>
  <c r="M97" i="14" s="1"/>
  <c r="N99" i="14"/>
  <c r="Q99" i="14"/>
  <c r="Q97" i="14" s="1"/>
  <c r="R99" i="14"/>
  <c r="S99" i="14"/>
  <c r="Q100" i="14"/>
  <c r="R100" i="14"/>
  <c r="U100" i="14" s="1"/>
  <c r="S100" i="14"/>
  <c r="T100" i="14"/>
  <c r="O101" i="14"/>
  <c r="P101" i="14"/>
  <c r="T101" i="14"/>
  <c r="U101" i="14"/>
  <c r="L102" i="14"/>
  <c r="O102" i="14" s="1"/>
  <c r="M102" i="14"/>
  <c r="N102" i="14"/>
  <c r="N100" i="14" s="1"/>
  <c r="T102" i="14"/>
  <c r="U102" i="14"/>
  <c r="I108" i="14"/>
  <c r="I92" i="14" s="1"/>
  <c r="K92" i="14" s="1"/>
  <c r="I109" i="14"/>
  <c r="I93" i="14" s="1"/>
  <c r="I113" i="14"/>
  <c r="K113" i="14" s="1"/>
  <c r="I114" i="14"/>
  <c r="K114" i="14" s="1"/>
  <c r="J116" i="14"/>
  <c r="L118" i="14"/>
  <c r="O118" i="14" s="1"/>
  <c r="M118" i="14"/>
  <c r="N118" i="14"/>
  <c r="P118" i="14"/>
  <c r="Q118" i="14"/>
  <c r="T118" i="14" s="1"/>
  <c r="R118" i="14"/>
  <c r="U118" i="14" s="1"/>
  <c r="S118" i="14"/>
  <c r="O121" i="14"/>
  <c r="P121" i="14"/>
  <c r="T121" i="14"/>
  <c r="U121" i="14"/>
  <c r="L122" i="14"/>
  <c r="M122" i="14"/>
  <c r="N122" i="14"/>
  <c r="Q122" i="14"/>
  <c r="Q120" i="14" s="1"/>
  <c r="R122" i="14"/>
  <c r="S122" i="14"/>
  <c r="O124" i="14"/>
  <c r="P124" i="14"/>
  <c r="T124" i="14"/>
  <c r="U124" i="14"/>
  <c r="L125" i="14"/>
  <c r="M125" i="14"/>
  <c r="M123" i="14" s="1"/>
  <c r="P123" i="14" s="1"/>
  <c r="N125" i="14"/>
  <c r="N123" i="14" s="1"/>
  <c r="Q125" i="14"/>
  <c r="R125" i="14"/>
  <c r="S125" i="14"/>
  <c r="S123" i="14" s="1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R140" i="14"/>
  <c r="S140" i="14"/>
  <c r="U140" i="14"/>
  <c r="O143" i="14"/>
  <c r="P143" i="14"/>
  <c r="T143" i="14"/>
  <c r="U143" i="14"/>
  <c r="L144" i="14"/>
  <c r="M144" i="14"/>
  <c r="N144" i="14"/>
  <c r="Q144" i="14"/>
  <c r="T144" i="14" s="1"/>
  <c r="R144" i="14"/>
  <c r="S144" i="14"/>
  <c r="O146" i="14"/>
  <c r="P146" i="14"/>
  <c r="T146" i="14"/>
  <c r="U146" i="14"/>
  <c r="L147" i="14"/>
  <c r="L145" i="14" s="1"/>
  <c r="O145" i="14" s="1"/>
  <c r="M147" i="14"/>
  <c r="N147" i="14"/>
  <c r="N145" i="14" s="1"/>
  <c r="Q147" i="14"/>
  <c r="T147" i="14" s="1"/>
  <c r="R147" i="14"/>
  <c r="R145" i="14" s="1"/>
  <c r="U145" i="14" s="1"/>
  <c r="S147" i="14"/>
  <c r="S145" i="14" s="1"/>
  <c r="I150" i="14"/>
  <c r="K150" i="14" s="1"/>
  <c r="I151" i="14"/>
  <c r="K151" i="14" s="1"/>
  <c r="I152" i="14"/>
  <c r="K152" i="14" s="1"/>
  <c r="I153" i="14"/>
  <c r="K153" i="14" s="1"/>
  <c r="I154" i="14"/>
  <c r="I136" i="14" s="1"/>
  <c r="K136" i="14" s="1"/>
  <c r="J156" i="14"/>
  <c r="L158" i="14"/>
  <c r="M158" i="14"/>
  <c r="N158" i="14"/>
  <c r="O158" i="14"/>
  <c r="P158" i="14"/>
  <c r="Q158" i="14"/>
  <c r="R158" i="14"/>
  <c r="S158" i="14"/>
  <c r="T158" i="14"/>
  <c r="U158" i="14"/>
  <c r="O161" i="14"/>
  <c r="P161" i="14"/>
  <c r="T161" i="14"/>
  <c r="U161" i="14"/>
  <c r="L162" i="14"/>
  <c r="M162" i="14"/>
  <c r="P162" i="14" s="1"/>
  <c r="N162" i="14"/>
  <c r="Q162" i="14"/>
  <c r="T162" i="14" s="1"/>
  <c r="R162" i="14"/>
  <c r="R159" i="14" s="1"/>
  <c r="S162" i="14"/>
  <c r="S159" i="14" s="1"/>
  <c r="Q163" i="14"/>
  <c r="T163" i="14" s="1"/>
  <c r="R163" i="14"/>
  <c r="U163" i="14" s="1"/>
  <c r="S163" i="14"/>
  <c r="O164" i="14"/>
  <c r="P164" i="14"/>
  <c r="T164" i="14"/>
  <c r="U164" i="14"/>
  <c r="L165" i="14"/>
  <c r="M165" i="14"/>
  <c r="M163" i="14" s="1"/>
  <c r="P163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O174" i="14" s="1"/>
  <c r="M174" i="14"/>
  <c r="N174" i="14"/>
  <c r="P174" i="14"/>
  <c r="Q174" i="14"/>
  <c r="T174" i="14" s="1"/>
  <c r="R174" i="14"/>
  <c r="U174" i="14" s="1"/>
  <c r="S174" i="14"/>
  <c r="O177" i="14"/>
  <c r="P177" i="14"/>
  <c r="T177" i="14"/>
  <c r="U177" i="14"/>
  <c r="L178" i="14"/>
  <c r="M178" i="14"/>
  <c r="N178" i="14"/>
  <c r="N176" i="14" s="1"/>
  <c r="Q178" i="14"/>
  <c r="R178" i="14"/>
  <c r="R175" i="14" s="1"/>
  <c r="S178" i="14"/>
  <c r="S175" i="14" s="1"/>
  <c r="Q179" i="14"/>
  <c r="R179" i="14"/>
  <c r="U179" i="14" s="1"/>
  <c r="S179" i="14"/>
  <c r="T179" i="14"/>
  <c r="O180" i="14"/>
  <c r="P180" i="14"/>
  <c r="T180" i="14"/>
  <c r="U180" i="14"/>
  <c r="L181" i="14"/>
  <c r="M181" i="14"/>
  <c r="P181" i="14" s="1"/>
  <c r="N181" i="14"/>
  <c r="N179" i="14" s="1"/>
  <c r="T181" i="14"/>
  <c r="U181" i="14"/>
  <c r="I183" i="14"/>
  <c r="I172" i="14" s="1"/>
  <c r="K172" i="14" s="1"/>
  <c r="K184" i="14"/>
  <c r="L187" i="14"/>
  <c r="M187" i="14"/>
  <c r="N187" i="14"/>
  <c r="Q187" i="14"/>
  <c r="T187" i="14" s="1"/>
  <c r="R187" i="14"/>
  <c r="S187" i="14"/>
  <c r="O190" i="14"/>
  <c r="P190" i="14"/>
  <c r="T190" i="14"/>
  <c r="U190" i="14"/>
  <c r="L191" i="14"/>
  <c r="M191" i="14"/>
  <c r="N191" i="14"/>
  <c r="N189" i="14" s="1"/>
  <c r="Q191" i="14"/>
  <c r="R191" i="14"/>
  <c r="R189" i="14" s="1"/>
  <c r="S191" i="14"/>
  <c r="O193" i="14"/>
  <c r="P193" i="14"/>
  <c r="T193" i="14"/>
  <c r="U193" i="14"/>
  <c r="L194" i="14"/>
  <c r="O194" i="14" s="1"/>
  <c r="M194" i="14"/>
  <c r="M192" i="14" s="1"/>
  <c r="P192" i="14" s="1"/>
  <c r="N194" i="14"/>
  <c r="N192" i="14" s="1"/>
  <c r="Q194" i="14"/>
  <c r="R194" i="14"/>
  <c r="R192" i="14" s="1"/>
  <c r="U192" i="14" s="1"/>
  <c r="S194" i="14"/>
  <c r="S192" i="14" s="1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L207" i="14"/>
  <c r="I209" i="14"/>
  <c r="I202" i="14" s="1"/>
  <c r="K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21" i="14" s="1"/>
  <c r="I230" i="14"/>
  <c r="K230" i="14" s="1"/>
  <c r="N233" i="14"/>
  <c r="N234" i="14"/>
  <c r="N235" i="14"/>
  <c r="N236" i="14"/>
  <c r="J238" i="14"/>
  <c r="I240" i="14"/>
  <c r="J240" i="14"/>
  <c r="K240" i="14"/>
  <c r="I241" i="14"/>
  <c r="J241" i="14"/>
  <c r="K241" i="14"/>
  <c r="J242" i="14"/>
  <c r="N243" i="14"/>
  <c r="N232" i="14" s="1"/>
  <c r="P243" i="14"/>
  <c r="L244" i="14"/>
  <c r="L245" i="14"/>
  <c r="L246" i="14"/>
  <c r="L247" i="14"/>
  <c r="I249" i="14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Q267" i="14"/>
  <c r="T267" i="14" s="1"/>
  <c r="R267" i="14"/>
  <c r="S267" i="14"/>
  <c r="O270" i="14"/>
  <c r="P270" i="14"/>
  <c r="T270" i="14"/>
  <c r="U270" i="14"/>
  <c r="L271" i="14"/>
  <c r="M271" i="14"/>
  <c r="N271" i="14"/>
  <c r="Q271" i="14"/>
  <c r="Q268" i="14" s="1"/>
  <c r="R271" i="14"/>
  <c r="R269" i="14" s="1"/>
  <c r="S271" i="14"/>
  <c r="S269" i="14" s="1"/>
  <c r="Q272" i="14"/>
  <c r="T272" i="14" s="1"/>
  <c r="R272" i="14"/>
  <c r="U272" i="14" s="1"/>
  <c r="S272" i="14"/>
  <c r="O273" i="14"/>
  <c r="P273" i="14"/>
  <c r="T273" i="14"/>
  <c r="U273" i="14"/>
  <c r="L274" i="14"/>
  <c r="M274" i="14"/>
  <c r="N274" i="14"/>
  <c r="N272" i="14" s="1"/>
  <c r="T274" i="14"/>
  <c r="U274" i="14"/>
  <c r="I276" i="14"/>
  <c r="J281" i="14"/>
  <c r="R282" i="14"/>
  <c r="U282" i="14" s="1"/>
  <c r="L283" i="14"/>
  <c r="O283" i="14" s="1"/>
  <c r="M283" i="14"/>
  <c r="N283" i="14"/>
  <c r="Q283" i="14"/>
  <c r="Q282" i="14" s="1"/>
  <c r="T282" i="14" s="1"/>
  <c r="R283" i="14"/>
  <c r="U283" i="14" s="1"/>
  <c r="S283" i="14"/>
  <c r="T283" i="14"/>
  <c r="Q284" i="14"/>
  <c r="T284" i="14" s="1"/>
  <c r="R284" i="14"/>
  <c r="S284" i="14"/>
  <c r="U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O285" i="14" s="1"/>
  <c r="M287" i="14"/>
  <c r="N287" i="14"/>
  <c r="T287" i="14"/>
  <c r="U287" i="14"/>
  <c r="Q288" i="14"/>
  <c r="T288" i="14" s="1"/>
  <c r="R288" i="14"/>
  <c r="S288" i="14"/>
  <c r="U288" i="14"/>
  <c r="O289" i="14"/>
  <c r="P289" i="14"/>
  <c r="T289" i="14"/>
  <c r="U289" i="14"/>
  <c r="L290" i="14"/>
  <c r="M290" i="14"/>
  <c r="N290" i="14"/>
  <c r="N288" i="14" s="1"/>
  <c r="T290" i="14"/>
  <c r="U290" i="14"/>
  <c r="I292" i="14"/>
  <c r="I293" i="14"/>
  <c r="K293" i="14" s="1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Q304" i="14"/>
  <c r="R304" i="14"/>
  <c r="S304" i="14"/>
  <c r="T304" i="14"/>
  <c r="U304" i="14"/>
  <c r="O307" i="14"/>
  <c r="P307" i="14"/>
  <c r="T307" i="14"/>
  <c r="U307" i="14"/>
  <c r="L308" i="14"/>
  <c r="M308" i="14"/>
  <c r="N308" i="14"/>
  <c r="Q308" i="14"/>
  <c r="Q305" i="14" s="1"/>
  <c r="R308" i="14"/>
  <c r="R305" i="14" s="1"/>
  <c r="S308" i="14"/>
  <c r="S306" i="14" s="1"/>
  <c r="Q309" i="14"/>
  <c r="T309" i="14" s="1"/>
  <c r="R309" i="14"/>
  <c r="U309" i="14" s="1"/>
  <c r="S309" i="14"/>
  <c r="O310" i="14"/>
  <c r="P310" i="14"/>
  <c r="T310" i="14"/>
  <c r="U310" i="14"/>
  <c r="L311" i="14"/>
  <c r="L309" i="14" s="1"/>
  <c r="O309" i="14" s="1"/>
  <c r="M311" i="14"/>
  <c r="N311" i="14"/>
  <c r="N309" i="14" s="1"/>
  <c r="T311" i="14"/>
  <c r="U311" i="14"/>
  <c r="I314" i="14"/>
  <c r="I302" i="14" s="1"/>
  <c r="K302" i="14" s="1"/>
  <c r="J319" i="14"/>
  <c r="L321" i="14"/>
  <c r="M321" i="14"/>
  <c r="P321" i="14" s="1"/>
  <c r="N321" i="14"/>
  <c r="Q321" i="14"/>
  <c r="R321" i="14"/>
  <c r="S321" i="14"/>
  <c r="Q322" i="14"/>
  <c r="R322" i="14"/>
  <c r="U322" i="14" s="1"/>
  <c r="S322" i="14"/>
  <c r="S320" i="14" s="1"/>
  <c r="T322" i="14"/>
  <c r="Q323" i="14"/>
  <c r="T323" i="14" s="1"/>
  <c r="R323" i="14"/>
  <c r="U323" i="14" s="1"/>
  <c r="S323" i="14"/>
  <c r="O324" i="14"/>
  <c r="P324" i="14"/>
  <c r="T324" i="14"/>
  <c r="U324" i="14"/>
  <c r="L325" i="14"/>
  <c r="M325" i="14"/>
  <c r="N325" i="14"/>
  <c r="T325" i="14"/>
  <c r="U325" i="14"/>
  <c r="Q326" i="14"/>
  <c r="R326" i="14"/>
  <c r="U326" i="14" s="1"/>
  <c r="S326" i="14"/>
  <c r="T326" i="14"/>
  <c r="O327" i="14"/>
  <c r="P327" i="14"/>
  <c r="T327" i="14"/>
  <c r="U327" i="14"/>
  <c r="L328" i="14"/>
  <c r="O328" i="14" s="1"/>
  <c r="M328" i="14"/>
  <c r="N328" i="14"/>
  <c r="N326" i="14" s="1"/>
  <c r="T328" i="14"/>
  <c r="U328" i="14"/>
  <c r="I330" i="14"/>
  <c r="K330" i="14" s="1"/>
  <c r="Q333" i="14"/>
  <c r="T333" i="14" s="1"/>
  <c r="L334" i="14"/>
  <c r="M334" i="14"/>
  <c r="N334" i="14"/>
  <c r="Q334" i="14"/>
  <c r="R334" i="14"/>
  <c r="S334" i="14"/>
  <c r="S333" i="14" s="1"/>
  <c r="T334" i="14"/>
  <c r="Q335" i="14"/>
  <c r="T335" i="14" s="1"/>
  <c r="R335" i="14"/>
  <c r="S335" i="14"/>
  <c r="U335" i="14"/>
  <c r="Q336" i="14"/>
  <c r="T336" i="14" s="1"/>
  <c r="R336" i="14"/>
  <c r="U336" i="14" s="1"/>
  <c r="S336" i="14"/>
  <c r="O337" i="14"/>
  <c r="P337" i="14"/>
  <c r="T337" i="14"/>
  <c r="U337" i="14"/>
  <c r="L338" i="14"/>
  <c r="L336" i="14" s="1"/>
  <c r="M338" i="14"/>
  <c r="M336" i="14" s="1"/>
  <c r="N338" i="14"/>
  <c r="T338" i="14"/>
  <c r="U338" i="14"/>
  <c r="Q339" i="14"/>
  <c r="R339" i="14"/>
  <c r="S339" i="14"/>
  <c r="T339" i="14"/>
  <c r="U339" i="14"/>
  <c r="O340" i="14"/>
  <c r="P340" i="14"/>
  <c r="T340" i="14"/>
  <c r="U340" i="14"/>
  <c r="L341" i="14"/>
  <c r="M341" i="14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S356" i="14"/>
  <c r="L357" i="14"/>
  <c r="M357" i="14"/>
  <c r="N357" i="14"/>
  <c r="P357" i="14"/>
  <c r="Q357" i="14"/>
  <c r="T357" i="14" s="1"/>
  <c r="R357" i="14"/>
  <c r="S357" i="14"/>
  <c r="Q358" i="14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M361" i="14"/>
  <c r="M359" i="14" s="1"/>
  <c r="N361" i="14"/>
  <c r="T361" i="14"/>
  <c r="U361" i="14"/>
  <c r="Q362" i="14"/>
  <c r="R362" i="14"/>
  <c r="U362" i="14" s="1"/>
  <c r="S362" i="14"/>
  <c r="T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N376" i="14"/>
  <c r="Q376" i="14"/>
  <c r="R376" i="14"/>
  <c r="S376" i="14"/>
  <c r="T376" i="14"/>
  <c r="U376" i="14"/>
  <c r="O379" i="14"/>
  <c r="P379" i="14"/>
  <c r="T379" i="14"/>
  <c r="U379" i="14"/>
  <c r="L380" i="14"/>
  <c r="L378" i="14" s="1"/>
  <c r="O378" i="14" s="1"/>
  <c r="M380" i="14"/>
  <c r="P380" i="14" s="1"/>
  <c r="N380" i="14"/>
  <c r="Q380" i="14"/>
  <c r="R380" i="14"/>
  <c r="S380" i="14"/>
  <c r="Q381" i="14"/>
  <c r="T381" i="14" s="1"/>
  <c r="R381" i="14"/>
  <c r="U381" i="14" s="1"/>
  <c r="S381" i="14"/>
  <c r="O382" i="14"/>
  <c r="P382" i="14"/>
  <c r="T382" i="14"/>
  <c r="U382" i="14"/>
  <c r="L383" i="14"/>
  <c r="M383" i="14"/>
  <c r="M381" i="14" s="1"/>
  <c r="P381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O393" i="14" s="1"/>
  <c r="M393" i="14"/>
  <c r="N393" i="14"/>
  <c r="P393" i="14"/>
  <c r="Q393" i="14"/>
  <c r="R393" i="14"/>
  <c r="U393" i="14" s="1"/>
  <c r="S393" i="14"/>
  <c r="L394" i="14"/>
  <c r="O394" i="14" s="1"/>
  <c r="M394" i="14"/>
  <c r="M392" i="14" s="1"/>
  <c r="P392" i="14" s="1"/>
  <c r="N394" i="14"/>
  <c r="N392" i="14" s="1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Q394" i="14" s="1"/>
  <c r="T394" i="14" s="1"/>
  <c r="R397" i="14"/>
  <c r="S397" i="14"/>
  <c r="L398" i="14"/>
  <c r="M398" i="14"/>
  <c r="N398" i="14"/>
  <c r="O398" i="14"/>
  <c r="P398" i="14"/>
  <c r="Q398" i="14"/>
  <c r="T398" i="14" s="1"/>
  <c r="R398" i="14"/>
  <c r="S398" i="14"/>
  <c r="U398" i="14"/>
  <c r="O399" i="14"/>
  <c r="P399" i="14"/>
  <c r="T399" i="14"/>
  <c r="U399" i="14"/>
  <c r="O400" i="14"/>
  <c r="P400" i="14"/>
  <c r="T400" i="14"/>
  <c r="U400" i="14"/>
  <c r="L414" i="14"/>
  <c r="M414" i="14"/>
  <c r="N414" i="14"/>
  <c r="O414" i="14"/>
  <c r="P414" i="14"/>
  <c r="Q414" i="14"/>
  <c r="T414" i="14" s="1"/>
  <c r="R414" i="14"/>
  <c r="S414" i="14"/>
  <c r="U414" i="14"/>
  <c r="O417" i="14"/>
  <c r="P417" i="14"/>
  <c r="T417" i="14"/>
  <c r="U417" i="14"/>
  <c r="L418" i="14"/>
  <c r="M418" i="14"/>
  <c r="N418" i="14"/>
  <c r="Q418" i="14"/>
  <c r="Q415" i="14" s="1"/>
  <c r="R418" i="14"/>
  <c r="R415" i="14" s="1"/>
  <c r="S418" i="14"/>
  <c r="S415" i="14" s="1"/>
  <c r="S413" i="14" s="1"/>
  <c r="Q419" i="14"/>
  <c r="R419" i="14"/>
  <c r="U419" i="14" s="1"/>
  <c r="S419" i="14"/>
  <c r="T419" i="14"/>
  <c r="O420" i="14"/>
  <c r="P420" i="14"/>
  <c r="T420" i="14"/>
  <c r="U420" i="14"/>
  <c r="L421" i="14"/>
  <c r="M421" i="14"/>
  <c r="P421" i="14" s="1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I441" i="14"/>
  <c r="K441" i="14" s="1"/>
  <c r="J446" i="14"/>
  <c r="J440" i="14" s="1"/>
  <c r="J423" i="14" s="1"/>
  <c r="J412" i="14" s="1"/>
  <c r="J447" i="14"/>
  <c r="J441" i="14" s="1"/>
  <c r="I457" i="14"/>
  <c r="I456" i="14" s="1"/>
  <c r="I458" i="14"/>
  <c r="K458" i="14" s="1"/>
  <c r="J459" i="14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O494" i="14" s="1"/>
  <c r="M494" i="14"/>
  <c r="P494" i="14" s="1"/>
  <c r="N494" i="14"/>
  <c r="Q494" i="14"/>
  <c r="R494" i="14"/>
  <c r="S494" i="14"/>
  <c r="T494" i="14"/>
  <c r="O497" i="14"/>
  <c r="P497" i="14"/>
  <c r="T497" i="14"/>
  <c r="U497" i="14"/>
  <c r="L498" i="14"/>
  <c r="M498" i="14"/>
  <c r="N498" i="14"/>
  <c r="N496" i="14" s="1"/>
  <c r="Q498" i="14"/>
  <c r="T498" i="14" s="1"/>
  <c r="R498" i="14"/>
  <c r="R496" i="14" s="1"/>
  <c r="U496" i="14" s="1"/>
  <c r="S498" i="14"/>
  <c r="S495" i="14" s="1"/>
  <c r="Q499" i="14"/>
  <c r="T499" i="14" s="1"/>
  <c r="R499" i="14"/>
  <c r="U499" i="14" s="1"/>
  <c r="S499" i="14"/>
  <c r="O500" i="14"/>
  <c r="P500" i="14"/>
  <c r="T500" i="14"/>
  <c r="U500" i="14"/>
  <c r="L501" i="14"/>
  <c r="M501" i="14"/>
  <c r="N501" i="14"/>
  <c r="N499" i="14" s="1"/>
  <c r="T501" i="14"/>
  <c r="U501" i="14"/>
  <c r="I503" i="14"/>
  <c r="I504" i="14"/>
  <c r="K504" i="14" s="1"/>
  <c r="I505" i="14"/>
  <c r="K505" i="14" s="1"/>
  <c r="I506" i="14"/>
  <c r="I507" i="14"/>
  <c r="K507" i="14" s="1"/>
  <c r="K508" i="14"/>
  <c r="I509" i="14"/>
  <c r="K509" i="14" s="1"/>
  <c r="I512" i="14"/>
  <c r="K512" i="14" s="1"/>
  <c r="J512" i="14"/>
  <c r="Q513" i="14"/>
  <c r="T513" i="14" s="1"/>
  <c r="L514" i="14"/>
  <c r="M514" i="14"/>
  <c r="P514" i="14" s="1"/>
  <c r="N514" i="14"/>
  <c r="Q514" i="14"/>
  <c r="T514" i="14" s="1"/>
  <c r="R514" i="14"/>
  <c r="S514" i="14"/>
  <c r="Q515" i="14"/>
  <c r="R515" i="14"/>
  <c r="U515" i="14" s="1"/>
  <c r="S515" i="14"/>
  <c r="T515" i="14"/>
  <c r="Q516" i="14"/>
  <c r="R516" i="14"/>
  <c r="U516" i="14" s="1"/>
  <c r="S516" i="14"/>
  <c r="T516" i="14"/>
  <c r="O517" i="14"/>
  <c r="P517" i="14"/>
  <c r="T517" i="14"/>
  <c r="U517" i="14"/>
  <c r="L518" i="14"/>
  <c r="L516" i="14" s="1"/>
  <c r="O516" i="14" s="1"/>
  <c r="M518" i="14"/>
  <c r="N518" i="14"/>
  <c r="T518" i="14"/>
  <c r="U518" i="14"/>
  <c r="Q519" i="14"/>
  <c r="R519" i="14"/>
  <c r="U519" i="14" s="1"/>
  <c r="S519" i="14"/>
  <c r="T519" i="14"/>
  <c r="O520" i="14"/>
  <c r="P520" i="14"/>
  <c r="T520" i="14"/>
  <c r="U520" i="14"/>
  <c r="L521" i="14"/>
  <c r="M521" i="14"/>
  <c r="P521" i="14" s="1"/>
  <c r="N521" i="14"/>
  <c r="N519" i="14" s="1"/>
  <c r="T521" i="14"/>
  <c r="U521" i="14"/>
  <c r="K523" i="14"/>
  <c r="K524" i="14"/>
  <c r="I533" i="14"/>
  <c r="K533" i="14" s="1"/>
  <c r="J533" i="14"/>
  <c r="L535" i="14"/>
  <c r="O535" i="14" s="1"/>
  <c r="M535" i="14"/>
  <c r="N535" i="14"/>
  <c r="Q535" i="14"/>
  <c r="R535" i="14"/>
  <c r="U535" i="14" s="1"/>
  <c r="S535" i="14"/>
  <c r="Q536" i="14"/>
  <c r="R536" i="14"/>
  <c r="U536" i="14" s="1"/>
  <c r="S536" i="14"/>
  <c r="T536" i="14"/>
  <c r="Q537" i="14"/>
  <c r="T537" i="14" s="1"/>
  <c r="R537" i="14"/>
  <c r="U537" i="14" s="1"/>
  <c r="S537" i="14"/>
  <c r="O538" i="14"/>
  <c r="P538" i="14"/>
  <c r="T538" i="14"/>
  <c r="U538" i="14"/>
  <c r="L539" i="14"/>
  <c r="L537" i="14" s="1"/>
  <c r="O537" i="14" s="1"/>
  <c r="M539" i="14"/>
  <c r="M537" i="14" s="1"/>
  <c r="P537" i="14" s="1"/>
  <c r="N539" i="14"/>
  <c r="T539" i="14"/>
  <c r="U539" i="14"/>
  <c r="Q540" i="14"/>
  <c r="R540" i="14"/>
  <c r="S540" i="14"/>
  <c r="T540" i="14"/>
  <c r="U540" i="14"/>
  <c r="O541" i="14"/>
  <c r="P541" i="14"/>
  <c r="T541" i="14"/>
  <c r="U541" i="14"/>
  <c r="L542" i="14"/>
  <c r="M542" i="14"/>
  <c r="N542" i="14"/>
  <c r="N540" i="14" s="1"/>
  <c r="T542" i="14"/>
  <c r="U542" i="14"/>
  <c r="I554" i="14"/>
  <c r="K554" i="14" s="1"/>
  <c r="J554" i="14"/>
  <c r="L556" i="14"/>
  <c r="M556" i="14"/>
  <c r="N556" i="14"/>
  <c r="O556" i="14"/>
  <c r="P556" i="14"/>
  <c r="Q556" i="14"/>
  <c r="T556" i="14" s="1"/>
  <c r="R556" i="14"/>
  <c r="S556" i="14"/>
  <c r="U556" i="14"/>
  <c r="Q557" i="14"/>
  <c r="T557" i="14" s="1"/>
  <c r="R557" i="14"/>
  <c r="U557" i="14" s="1"/>
  <c r="S557" i="14"/>
  <c r="S555" i="14" s="1"/>
  <c r="Q558" i="14"/>
  <c r="T558" i="14" s="1"/>
  <c r="R558" i="14"/>
  <c r="U558" i="14" s="1"/>
  <c r="S558" i="14"/>
  <c r="O559" i="14"/>
  <c r="P559" i="14"/>
  <c r="T559" i="14"/>
  <c r="U559" i="14"/>
  <c r="L560" i="14"/>
  <c r="O560" i="14" s="1"/>
  <c r="M560" i="14"/>
  <c r="P560" i="14" s="1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M563" i="14"/>
  <c r="N563" i="14"/>
  <c r="N561" i="14" s="1"/>
  <c r="T563" i="14"/>
  <c r="U563" i="14"/>
  <c r="I575" i="14"/>
  <c r="K575" i="14" s="1"/>
  <c r="J575" i="14"/>
  <c r="L577" i="14"/>
  <c r="O577" i="14" s="1"/>
  <c r="M577" i="14"/>
  <c r="N577" i="14"/>
  <c r="Q577" i="14"/>
  <c r="R577" i="14"/>
  <c r="U577" i="14" s="1"/>
  <c r="S577" i="14"/>
  <c r="Q578" i="14"/>
  <c r="T578" i="14" s="1"/>
  <c r="R578" i="14"/>
  <c r="U578" i="14" s="1"/>
  <c r="S578" i="14"/>
  <c r="Q579" i="14"/>
  <c r="T579" i="14" s="1"/>
  <c r="R579" i="14"/>
  <c r="U579" i="14" s="1"/>
  <c r="S579" i="14"/>
  <c r="O580" i="14"/>
  <c r="P580" i="14"/>
  <c r="T580" i="14"/>
  <c r="U580" i="14"/>
  <c r="L581" i="14"/>
  <c r="L579" i="14" s="1"/>
  <c r="O579" i="14" s="1"/>
  <c r="M581" i="14"/>
  <c r="M579" i="14" s="1"/>
  <c r="P579" i="14" s="1"/>
  <c r="N581" i="14"/>
  <c r="N579" i="14" s="1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O584" i="14" s="1"/>
  <c r="M584" i="14"/>
  <c r="N584" i="14"/>
  <c r="N582" i="14" s="1"/>
  <c r="T584" i="14"/>
  <c r="U584" i="14"/>
  <c r="L600" i="14"/>
  <c r="O600" i="14" s="1"/>
  <c r="M600" i="14"/>
  <c r="N600" i="14"/>
  <c r="Q600" i="14"/>
  <c r="R600" i="14"/>
  <c r="U600" i="14" s="1"/>
  <c r="S600" i="14"/>
  <c r="O603" i="14"/>
  <c r="P603" i="14"/>
  <c r="T603" i="14"/>
  <c r="U603" i="14"/>
  <c r="L604" i="14"/>
  <c r="M604" i="14"/>
  <c r="N604" i="14"/>
  <c r="N602" i="14" s="1"/>
  <c r="Q604" i="14"/>
  <c r="Q602" i="14" s="1"/>
  <c r="T602" i="14" s="1"/>
  <c r="R604" i="14"/>
  <c r="R602" i="14" s="1"/>
  <c r="U602" i="14" s="1"/>
  <c r="S604" i="14"/>
  <c r="O606" i="14"/>
  <c r="P606" i="14"/>
  <c r="T606" i="14"/>
  <c r="U606" i="14"/>
  <c r="L607" i="14"/>
  <c r="L605" i="14" s="1"/>
  <c r="O605" i="14" s="1"/>
  <c r="M607" i="14"/>
  <c r="M605" i="14" s="1"/>
  <c r="P605" i="14" s="1"/>
  <c r="N607" i="14"/>
  <c r="N605" i="14" s="1"/>
  <c r="Q607" i="14"/>
  <c r="Q605" i="14" s="1"/>
  <c r="T605" i="14" s="1"/>
  <c r="R607" i="14"/>
  <c r="R605" i="14" s="1"/>
  <c r="U605" i="14" s="1"/>
  <c r="S607" i="14"/>
  <c r="S605" i="14" s="1"/>
  <c r="L617" i="14"/>
  <c r="O617" i="14" s="1"/>
  <c r="M617" i="14"/>
  <c r="N617" i="14"/>
  <c r="P617" i="14"/>
  <c r="Q617" i="14"/>
  <c r="R617" i="14"/>
  <c r="S617" i="14"/>
  <c r="L618" i="14"/>
  <c r="O618" i="14" s="1"/>
  <c r="M618" i="14"/>
  <c r="P618" i="14" s="1"/>
  <c r="N618" i="14"/>
  <c r="L619" i="14"/>
  <c r="M619" i="14"/>
  <c r="N619" i="14"/>
  <c r="O619" i="14"/>
  <c r="P619" i="14"/>
  <c r="O620" i="14"/>
  <c r="P620" i="14"/>
  <c r="T620" i="14"/>
  <c r="U620" i="14"/>
  <c r="O621" i="14"/>
  <c r="P621" i="14"/>
  <c r="Q621" i="14"/>
  <c r="Q619" i="14" s="1"/>
  <c r="R621" i="14"/>
  <c r="R618" i="14" s="1"/>
  <c r="S621" i="14"/>
  <c r="L622" i="14"/>
  <c r="O622" i="14" s="1"/>
  <c r="M622" i="14"/>
  <c r="P622" i="14" s="1"/>
  <c r="N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32" i="14" s="1"/>
  <c r="J626" i="14"/>
  <c r="J615" i="14" s="1"/>
  <c r="I627" i="14"/>
  <c r="K627" i="14" s="1"/>
  <c r="I628" i="14"/>
  <c r="K628" i="14" s="1"/>
  <c r="J632" i="14"/>
  <c r="I635" i="14"/>
  <c r="K635" i="14" s="1"/>
  <c r="J636" i="14"/>
  <c r="J635" i="14" s="1"/>
  <c r="L643" i="14"/>
  <c r="L642" i="14" s="1"/>
  <c r="O642" i="14" s="1"/>
  <c r="M643" i="14"/>
  <c r="P643" i="14" s="1"/>
  <c r="N643" i="14"/>
  <c r="Q643" i="14"/>
  <c r="R643" i="14"/>
  <c r="S643" i="14"/>
  <c r="U643" i="14"/>
  <c r="L644" i="14"/>
  <c r="O644" i="14" s="1"/>
  <c r="M644" i="14"/>
  <c r="P644" i="14" s="1"/>
  <c r="N644" i="14"/>
  <c r="L645" i="14"/>
  <c r="M645" i="14"/>
  <c r="P645" i="14" s="1"/>
  <c r="N645" i="14"/>
  <c r="O645" i="14"/>
  <c r="O646" i="14"/>
  <c r="P646" i="14"/>
  <c r="T646" i="14"/>
  <c r="U646" i="14"/>
  <c r="O647" i="14"/>
  <c r="P647" i="14"/>
  <c r="Q647" i="14"/>
  <c r="Q644" i="14" s="1"/>
  <c r="T644" i="14" s="1"/>
  <c r="R647" i="14"/>
  <c r="R645" i="14" s="1"/>
  <c r="U645" i="14" s="1"/>
  <c r="S647" i="14"/>
  <c r="S645" i="14" s="1"/>
  <c r="L648" i="14"/>
  <c r="O648" i="14" s="1"/>
  <c r="M648" i="14"/>
  <c r="N648" i="14"/>
  <c r="P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M690" i="14"/>
  <c r="P690" i="14" s="1"/>
  <c r="L691" i="14"/>
  <c r="M691" i="14"/>
  <c r="P691" i="14" s="1"/>
  <c r="N691" i="14"/>
  <c r="N690" i="14" s="1"/>
  <c r="O691" i="14"/>
  <c r="Q691" i="14"/>
  <c r="R691" i="14"/>
  <c r="S691" i="14"/>
  <c r="U691" i="14"/>
  <c r="L692" i="14"/>
  <c r="O692" i="14" s="1"/>
  <c r="M692" i="14"/>
  <c r="P692" i="14" s="1"/>
  <c r="N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2" i="14" s="1"/>
  <c r="R695" i="14"/>
  <c r="R693" i="14" s="1"/>
  <c r="S695" i="14"/>
  <c r="S693" i="14" s="1"/>
  <c r="L696" i="14"/>
  <c r="O696" i="14" s="1"/>
  <c r="M696" i="14"/>
  <c r="N696" i="14"/>
  <c r="P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K703" i="14" s="1"/>
  <c r="J703" i="14"/>
  <c r="J704" i="14"/>
  <c r="K704" i="14"/>
  <c r="I705" i="14"/>
  <c r="J705" i="14"/>
  <c r="J706" i="14"/>
  <c r="K706" i="14"/>
  <c r="I707" i="14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N714" i="14" s="1"/>
  <c r="O715" i="14"/>
  <c r="Q715" i="14"/>
  <c r="T715" i="14" s="1"/>
  <c r="R715" i="14"/>
  <c r="R714" i="14" s="1"/>
  <c r="U714" i="14" s="1"/>
  <c r="S715" i="14"/>
  <c r="U715" i="14"/>
  <c r="L716" i="14"/>
  <c r="O716" i="14" s="1"/>
  <c r="M716" i="14"/>
  <c r="P716" i="14" s="1"/>
  <c r="N716" i="14"/>
  <c r="Q716" i="14"/>
  <c r="T716" i="14" s="1"/>
  <c r="R716" i="14"/>
  <c r="U716" i="14" s="1"/>
  <c r="S716" i="14"/>
  <c r="L717" i="14"/>
  <c r="O717" i="14" s="1"/>
  <c r="M717" i="14"/>
  <c r="P717" i="14" s="1"/>
  <c r="N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8" i="14"/>
  <c r="O728" i="14" s="1"/>
  <c r="L729" i="14"/>
  <c r="M729" i="14"/>
  <c r="N729" i="14"/>
  <c r="O729" i="14"/>
  <c r="Q729" i="14"/>
  <c r="T729" i="14" s="1"/>
  <c r="R729" i="14"/>
  <c r="U729" i="14" s="1"/>
  <c r="S729" i="14"/>
  <c r="L730" i="14"/>
  <c r="O730" i="14" s="1"/>
  <c r="M730" i="14"/>
  <c r="P730" i="14" s="1"/>
  <c r="N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1" i="14" s="1"/>
  <c r="R733" i="14"/>
  <c r="R731" i="14" s="1"/>
  <c r="S733" i="14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M760" i="14"/>
  <c r="P760" i="14" s="1"/>
  <c r="L761" i="14"/>
  <c r="M761" i="14"/>
  <c r="N761" i="14"/>
  <c r="N760" i="14" s="1"/>
  <c r="O761" i="14"/>
  <c r="P761" i="14"/>
  <c r="Q761" i="14"/>
  <c r="R761" i="14"/>
  <c r="S761" i="14"/>
  <c r="T761" i="14"/>
  <c r="U761" i="14"/>
  <c r="L762" i="14"/>
  <c r="O762" i="14" s="1"/>
  <c r="M762" i="14"/>
  <c r="N762" i="14"/>
  <c r="P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T763" i="14" s="1"/>
  <c r="R765" i="14"/>
  <c r="U765" i="14" s="1"/>
  <c r="S765" i="14"/>
  <c r="S762" i="14" s="1"/>
  <c r="S760" i="14" s="1"/>
  <c r="L766" i="14"/>
  <c r="M766" i="14"/>
  <c r="P766" i="14" s="1"/>
  <c r="N766" i="14"/>
  <c r="O766" i="14"/>
  <c r="Q766" i="14"/>
  <c r="T766" i="14" s="1"/>
  <c r="R766" i="14"/>
  <c r="S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O22" i="13" s="1"/>
  <c r="M22" i="13"/>
  <c r="N22" i="13"/>
  <c r="Q22" i="13"/>
  <c r="T22" i="13" s="1"/>
  <c r="R22" i="13"/>
  <c r="S22" i="13"/>
  <c r="U22" i="13"/>
  <c r="L25" i="13"/>
  <c r="M25" i="13"/>
  <c r="N25" i="13"/>
  <c r="O25" i="13"/>
  <c r="Q25" i="13"/>
  <c r="T25" i="13" s="1"/>
  <c r="R25" i="13"/>
  <c r="U25" i="13" s="1"/>
  <c r="S25" i="13"/>
  <c r="L45" i="13"/>
  <c r="O45" i="13" s="1"/>
  <c r="M45" i="13"/>
  <c r="N45" i="13"/>
  <c r="P45" i="13"/>
  <c r="Q45" i="13"/>
  <c r="R45" i="13"/>
  <c r="U45" i="13" s="1"/>
  <c r="S45" i="13"/>
  <c r="T45" i="13"/>
  <c r="Q46" i="13"/>
  <c r="T46" i="13" s="1"/>
  <c r="R46" i="13"/>
  <c r="U46" i="13" s="1"/>
  <c r="S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N49" i="13"/>
  <c r="N47" i="13" s="1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O52" i="13" s="1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Q61" i="13"/>
  <c r="R61" i="13"/>
  <c r="U61" i="13" s="1"/>
  <c r="S61" i="13"/>
  <c r="T61" i="13"/>
  <c r="Q62" i="13"/>
  <c r="R62" i="13"/>
  <c r="U62" i="13" s="1"/>
  <c r="S62" i="13"/>
  <c r="T62" i="13"/>
  <c r="O63" i="13"/>
  <c r="P63" i="13"/>
  <c r="T63" i="13"/>
  <c r="U63" i="13"/>
  <c r="L64" i="13"/>
  <c r="L62" i="13" s="1"/>
  <c r="M64" i="13"/>
  <c r="M62" i="13" s="1"/>
  <c r="N64" i="13"/>
  <c r="N62" i="13" s="1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L65" i="13" s="1"/>
  <c r="M67" i="13"/>
  <c r="N67" i="13"/>
  <c r="T67" i="13"/>
  <c r="U67" i="13"/>
  <c r="L73" i="13"/>
  <c r="O73" i="13" s="1"/>
  <c r="M73" i="13"/>
  <c r="P73" i="13" s="1"/>
  <c r="N73" i="13"/>
  <c r="Q73" i="13"/>
  <c r="R73" i="13"/>
  <c r="U73" i="13" s="1"/>
  <c r="S73" i="13"/>
  <c r="O76" i="13"/>
  <c r="P76" i="13"/>
  <c r="T76" i="13"/>
  <c r="U76" i="13"/>
  <c r="L77" i="13"/>
  <c r="L75" i="13" s="1"/>
  <c r="O75" i="13" s="1"/>
  <c r="M77" i="13"/>
  <c r="M75" i="13" s="1"/>
  <c r="P75" i="13" s="1"/>
  <c r="N77" i="13"/>
  <c r="N75" i="13" s="1"/>
  <c r="Q77" i="13"/>
  <c r="T77" i="13" s="1"/>
  <c r="R77" i="13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T95" i="13"/>
  <c r="O98" i="13"/>
  <c r="P98" i="13"/>
  <c r="T98" i="13"/>
  <c r="U98" i="13"/>
  <c r="L99" i="13"/>
  <c r="M99" i="13"/>
  <c r="N99" i="13"/>
  <c r="Q99" i="13"/>
  <c r="Q97" i="13" s="1"/>
  <c r="R99" i="13"/>
  <c r="S99" i="13"/>
  <c r="S97" i="13" s="1"/>
  <c r="Q100" i="13"/>
  <c r="R100" i="13"/>
  <c r="U100" i="13" s="1"/>
  <c r="S100" i="13"/>
  <c r="T100" i="13"/>
  <c r="O101" i="13"/>
  <c r="P101" i="13"/>
  <c r="T101" i="13"/>
  <c r="U101" i="13"/>
  <c r="L102" i="13"/>
  <c r="O102" i="13" s="1"/>
  <c r="M102" i="13"/>
  <c r="N102" i="13"/>
  <c r="N100" i="13" s="1"/>
  <c r="T102" i="13"/>
  <c r="U102" i="13"/>
  <c r="I108" i="13"/>
  <c r="I109" i="13"/>
  <c r="I113" i="13"/>
  <c r="K113" i="13" s="1"/>
  <c r="I114" i="13"/>
  <c r="K114" i="13" s="1"/>
  <c r="J116" i="13"/>
  <c r="L118" i="13"/>
  <c r="O118" i="13" s="1"/>
  <c r="M118" i="13"/>
  <c r="N118" i="13"/>
  <c r="Q118" i="13"/>
  <c r="T118" i="13" s="1"/>
  <c r="R118" i="13"/>
  <c r="U118" i="13" s="1"/>
  <c r="S118" i="13"/>
  <c r="O121" i="13"/>
  <c r="P121" i="13"/>
  <c r="T121" i="13"/>
  <c r="U121" i="13"/>
  <c r="L122" i="13"/>
  <c r="M122" i="13"/>
  <c r="N122" i="13"/>
  <c r="Q122" i="13"/>
  <c r="Q120" i="13" s="1"/>
  <c r="R122" i="13"/>
  <c r="S122" i="13"/>
  <c r="O124" i="13"/>
  <c r="P124" i="13"/>
  <c r="T124" i="13"/>
  <c r="U124" i="13"/>
  <c r="L125" i="13"/>
  <c r="O125" i="13" s="1"/>
  <c r="M125" i="13"/>
  <c r="M123" i="13" s="1"/>
  <c r="P123" i="13" s="1"/>
  <c r="N125" i="13"/>
  <c r="N123" i="13" s="1"/>
  <c r="Q125" i="13"/>
  <c r="R125" i="13"/>
  <c r="S125" i="13"/>
  <c r="S123" i="13" s="1"/>
  <c r="I127" i="13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T140" i="13" s="1"/>
  <c r="R140" i="13"/>
  <c r="S140" i="13"/>
  <c r="U140" i="13"/>
  <c r="O143" i="13"/>
  <c r="P143" i="13"/>
  <c r="T143" i="13"/>
  <c r="U143" i="13"/>
  <c r="L144" i="13"/>
  <c r="M144" i="13"/>
  <c r="M142" i="13" s="1"/>
  <c r="N144" i="13"/>
  <c r="Q144" i="13"/>
  <c r="R144" i="13"/>
  <c r="S144" i="13"/>
  <c r="S142" i="13" s="1"/>
  <c r="O146" i="13"/>
  <c r="P146" i="13"/>
  <c r="T146" i="13"/>
  <c r="U146" i="13"/>
  <c r="L147" i="13"/>
  <c r="O147" i="13" s="1"/>
  <c r="M147" i="13"/>
  <c r="N147" i="13"/>
  <c r="N145" i="13" s="1"/>
  <c r="Q147" i="13"/>
  <c r="R147" i="13"/>
  <c r="U147" i="13" s="1"/>
  <c r="S147" i="13"/>
  <c r="I150" i="13"/>
  <c r="K150" i="13" s="1"/>
  <c r="I151" i="13"/>
  <c r="K151" i="13" s="1"/>
  <c r="I152" i="13"/>
  <c r="I137" i="13" s="1"/>
  <c r="I153" i="13"/>
  <c r="I138" i="13" s="1"/>
  <c r="K138" i="13" s="1"/>
  <c r="I154" i="13"/>
  <c r="I136" i="13" s="1"/>
  <c r="K136" i="13" s="1"/>
  <c r="J156" i="13"/>
  <c r="L158" i="13"/>
  <c r="O158" i="13" s="1"/>
  <c r="M158" i="13"/>
  <c r="N158" i="13"/>
  <c r="Q158" i="13"/>
  <c r="T158" i="13" s="1"/>
  <c r="R158" i="13"/>
  <c r="U158" i="13" s="1"/>
  <c r="S158" i="13"/>
  <c r="O161" i="13"/>
  <c r="P161" i="13"/>
  <c r="T161" i="13"/>
  <c r="U161" i="13"/>
  <c r="L162" i="13"/>
  <c r="O162" i="13" s="1"/>
  <c r="M162" i="13"/>
  <c r="N162" i="13"/>
  <c r="N160" i="13" s="1"/>
  <c r="Q162" i="13"/>
  <c r="Q160" i="13" s="1"/>
  <c r="T160" i="13" s="1"/>
  <c r="R162" i="13"/>
  <c r="R160" i="13" s="1"/>
  <c r="U160" i="13" s="1"/>
  <c r="S162" i="13"/>
  <c r="S159" i="13" s="1"/>
  <c r="Q163" i="13"/>
  <c r="T163" i="13" s="1"/>
  <c r="R163" i="13"/>
  <c r="U163" i="13" s="1"/>
  <c r="S163" i="13"/>
  <c r="O164" i="13"/>
  <c r="P164" i="13"/>
  <c r="T164" i="13"/>
  <c r="U164" i="13"/>
  <c r="L165" i="13"/>
  <c r="L163" i="13" s="1"/>
  <c r="O163" i="13" s="1"/>
  <c r="M165" i="13"/>
  <c r="M163" i="13" s="1"/>
  <c r="P163" i="13" s="1"/>
  <c r="N165" i="13"/>
  <c r="N163" i="13" s="1"/>
  <c r="T165" i="13"/>
  <c r="U165" i="13"/>
  <c r="I167" i="13"/>
  <c r="K167" i="13" s="1"/>
  <c r="I168" i="13"/>
  <c r="K168" i="13" s="1"/>
  <c r="I169" i="13"/>
  <c r="J172" i="13"/>
  <c r="L174" i="13"/>
  <c r="O174" i="13" s="1"/>
  <c r="M174" i="13"/>
  <c r="N174" i="13"/>
  <c r="P174" i="13"/>
  <c r="Q174" i="13"/>
  <c r="R174" i="13"/>
  <c r="S174" i="13"/>
  <c r="T174" i="13"/>
  <c r="O177" i="13"/>
  <c r="P177" i="13"/>
  <c r="T177" i="13"/>
  <c r="U177" i="13"/>
  <c r="L178" i="13"/>
  <c r="M178" i="13"/>
  <c r="N178" i="13"/>
  <c r="Q178" i="13"/>
  <c r="R178" i="13"/>
  <c r="R176" i="13" s="1"/>
  <c r="U176" i="13" s="1"/>
  <c r="S178" i="13"/>
  <c r="Q179" i="13"/>
  <c r="T179" i="13" s="1"/>
  <c r="R179" i="13"/>
  <c r="U179" i="13" s="1"/>
  <c r="S179" i="13"/>
  <c r="O180" i="13"/>
  <c r="P180" i="13"/>
  <c r="T180" i="13"/>
  <c r="U180" i="13"/>
  <c r="L181" i="13"/>
  <c r="L179" i="13" s="1"/>
  <c r="O179" i="13" s="1"/>
  <c r="M181" i="13"/>
  <c r="N181" i="13"/>
  <c r="N179" i="13" s="1"/>
  <c r="T181" i="13"/>
  <c r="U181" i="13"/>
  <c r="I183" i="13"/>
  <c r="K184" i="13"/>
  <c r="L187" i="13"/>
  <c r="M187" i="13"/>
  <c r="P187" i="13" s="1"/>
  <c r="N187" i="13"/>
  <c r="Q187" i="13"/>
  <c r="R187" i="13"/>
  <c r="S187" i="13"/>
  <c r="O190" i="13"/>
  <c r="P190" i="13"/>
  <c r="T190" i="13"/>
  <c r="U190" i="13"/>
  <c r="L191" i="13"/>
  <c r="L189" i="13" s="1"/>
  <c r="M191" i="13"/>
  <c r="N191" i="13"/>
  <c r="Q191" i="13"/>
  <c r="R191" i="13"/>
  <c r="R189" i="13" s="1"/>
  <c r="S191" i="13"/>
  <c r="O193" i="13"/>
  <c r="P193" i="13"/>
  <c r="T193" i="13"/>
  <c r="U193" i="13"/>
  <c r="L194" i="13"/>
  <c r="L192" i="13" s="1"/>
  <c r="O192" i="13" s="1"/>
  <c r="M194" i="13"/>
  <c r="P194" i="13" s="1"/>
  <c r="N194" i="13"/>
  <c r="N192" i="13" s="1"/>
  <c r="Q194" i="13"/>
  <c r="T194" i="13" s="1"/>
  <c r="R194" i="13"/>
  <c r="S194" i="13"/>
  <c r="S192" i="13" s="1"/>
  <c r="J195" i="13"/>
  <c r="L196" i="13"/>
  <c r="O196" i="13" s="1"/>
  <c r="P196" i="13"/>
  <c r="I198" i="13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30" i="13"/>
  <c r="K230" i="13" s="1"/>
  <c r="N232" i="13"/>
  <c r="N233" i="13"/>
  <c r="N234" i="13"/>
  <c r="N235" i="13"/>
  <c r="N236" i="13"/>
  <c r="J238" i="13"/>
  <c r="I240" i="13"/>
  <c r="K240" i="13" s="1"/>
  <c r="J240" i="13"/>
  <c r="I241" i="13"/>
  <c r="J241" i="13"/>
  <c r="K241" i="13"/>
  <c r="J242" i="13"/>
  <c r="J231" i="13" s="1"/>
  <c r="J185" i="13" s="1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P267" i="13"/>
  <c r="Q267" i="13"/>
  <c r="R267" i="13"/>
  <c r="S267" i="13"/>
  <c r="O270" i="13"/>
  <c r="P270" i="13"/>
  <c r="T270" i="13"/>
  <c r="U270" i="13"/>
  <c r="L271" i="13"/>
  <c r="M271" i="13"/>
  <c r="N271" i="13"/>
  <c r="Q271" i="13"/>
  <c r="Q268" i="13" s="1"/>
  <c r="R271" i="13"/>
  <c r="R268" i="13" s="1"/>
  <c r="S271" i="13"/>
  <c r="S268" i="13" s="1"/>
  <c r="S266" i="13" s="1"/>
  <c r="Q272" i="13"/>
  <c r="R272" i="13"/>
  <c r="S272" i="13"/>
  <c r="T272" i="13"/>
  <c r="U272" i="13"/>
  <c r="O273" i="13"/>
  <c r="P273" i="13"/>
  <c r="T273" i="13"/>
  <c r="U273" i="13"/>
  <c r="L274" i="13"/>
  <c r="M274" i="13"/>
  <c r="N274" i="13"/>
  <c r="N272" i="13" s="1"/>
  <c r="T274" i="13"/>
  <c r="U274" i="13"/>
  <c r="I276" i="13"/>
  <c r="I265" i="13" s="1"/>
  <c r="J281" i="13"/>
  <c r="L283" i="13"/>
  <c r="M283" i="13"/>
  <c r="P283" i="13" s="1"/>
  <c r="N283" i="13"/>
  <c r="Q283" i="13"/>
  <c r="R283" i="13"/>
  <c r="S283" i="13"/>
  <c r="Q284" i="13"/>
  <c r="T284" i="13" s="1"/>
  <c r="R284" i="13"/>
  <c r="S284" i="13"/>
  <c r="U284" i="13"/>
  <c r="Q285" i="13"/>
  <c r="R285" i="13"/>
  <c r="S285" i="13"/>
  <c r="T285" i="13"/>
  <c r="U285" i="13"/>
  <c r="O286" i="13"/>
  <c r="P286" i="13"/>
  <c r="T286" i="13"/>
  <c r="U286" i="13"/>
  <c r="L287" i="13"/>
  <c r="L285" i="13" s="1"/>
  <c r="O285" i="13" s="1"/>
  <c r="M287" i="13"/>
  <c r="N287" i="13"/>
  <c r="N285" i="13" s="1"/>
  <c r="T287" i="13"/>
  <c r="U287" i="13"/>
  <c r="Q288" i="13"/>
  <c r="R288" i="13"/>
  <c r="U288" i="13" s="1"/>
  <c r="S288" i="13"/>
  <c r="T288" i="13"/>
  <c r="O289" i="13"/>
  <c r="P289" i="13"/>
  <c r="T289" i="13"/>
  <c r="U289" i="13"/>
  <c r="L290" i="13"/>
  <c r="M290" i="13"/>
  <c r="N290" i="13"/>
  <c r="N288" i="13" s="1"/>
  <c r="T290" i="13"/>
  <c r="U290" i="13"/>
  <c r="I292" i="13"/>
  <c r="I281" i="13" s="1"/>
  <c r="K281" i="13" s="1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M304" i="13"/>
  <c r="N304" i="13"/>
  <c r="P304" i="13"/>
  <c r="Q304" i="13"/>
  <c r="T304" i="13" s="1"/>
  <c r="R304" i="13"/>
  <c r="S304" i="13"/>
  <c r="O307" i="13"/>
  <c r="P307" i="13"/>
  <c r="T307" i="13"/>
  <c r="U307" i="13"/>
  <c r="L308" i="13"/>
  <c r="L306" i="13" s="1"/>
  <c r="O306" i="13" s="1"/>
  <c r="M308" i="13"/>
  <c r="N308" i="13"/>
  <c r="Q308" i="13"/>
  <c r="Q305" i="13" s="1"/>
  <c r="R308" i="13"/>
  <c r="S308" i="13"/>
  <c r="Q309" i="13"/>
  <c r="T309" i="13" s="1"/>
  <c r="R309" i="13"/>
  <c r="S309" i="13"/>
  <c r="U309" i="13"/>
  <c r="O310" i="13"/>
  <c r="P310" i="13"/>
  <c r="T310" i="13"/>
  <c r="U310" i="13"/>
  <c r="L311" i="13"/>
  <c r="L309" i="13" s="1"/>
  <c r="O309" i="13" s="1"/>
  <c r="M311" i="13"/>
  <c r="N311" i="13"/>
  <c r="N309" i="13" s="1"/>
  <c r="T311" i="13"/>
  <c r="U311" i="13"/>
  <c r="I314" i="13"/>
  <c r="I302" i="13" s="1"/>
  <c r="K302" i="13" s="1"/>
  <c r="J319" i="13"/>
  <c r="L321" i="13"/>
  <c r="M321" i="13"/>
  <c r="N321" i="13"/>
  <c r="O321" i="13"/>
  <c r="P321" i="13"/>
  <c r="Q321" i="13"/>
  <c r="R321" i="13"/>
  <c r="S321" i="13"/>
  <c r="T321" i="13"/>
  <c r="U321" i="13"/>
  <c r="Q322" i="13"/>
  <c r="T322" i="13" s="1"/>
  <c r="R322" i="13"/>
  <c r="U322" i="13" s="1"/>
  <c r="S322" i="13"/>
  <c r="S320" i="13" s="1"/>
  <c r="Q323" i="13"/>
  <c r="T323" i="13" s="1"/>
  <c r="R323" i="13"/>
  <c r="U323" i="13" s="1"/>
  <c r="S323" i="13"/>
  <c r="O324" i="13"/>
  <c r="P324" i="13"/>
  <c r="T324" i="13"/>
  <c r="U324" i="13"/>
  <c r="L325" i="13"/>
  <c r="M325" i="13"/>
  <c r="M323" i="13" s="1"/>
  <c r="N325" i="13"/>
  <c r="N323" i="13" s="1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O328" i="13" s="1"/>
  <c r="M328" i="13"/>
  <c r="M326" i="13" s="1"/>
  <c r="P326" i="13" s="1"/>
  <c r="N328" i="13"/>
  <c r="N326" i="13" s="1"/>
  <c r="T328" i="13"/>
  <c r="U328" i="13"/>
  <c r="I330" i="13"/>
  <c r="K330" i="13" s="1"/>
  <c r="L334" i="13"/>
  <c r="M334" i="13"/>
  <c r="P334" i="13" s="1"/>
  <c r="N334" i="13"/>
  <c r="O334" i="13"/>
  <c r="Q334" i="13"/>
  <c r="R334" i="13"/>
  <c r="S334" i="13"/>
  <c r="T334" i="13"/>
  <c r="U334" i="13"/>
  <c r="Q335" i="13"/>
  <c r="T335" i="13" s="1"/>
  <c r="R335" i="13"/>
  <c r="U335" i="13" s="1"/>
  <c r="S335" i="13"/>
  <c r="Q336" i="13"/>
  <c r="T336" i="13" s="1"/>
  <c r="R336" i="13"/>
  <c r="S336" i="13"/>
  <c r="U336" i="13"/>
  <c r="O337" i="13"/>
  <c r="P337" i="13"/>
  <c r="T337" i="13"/>
  <c r="U337" i="13"/>
  <c r="L338" i="13"/>
  <c r="M338" i="13"/>
  <c r="N338" i="13"/>
  <c r="N336" i="13" s="1"/>
  <c r="T338" i="13"/>
  <c r="U338" i="13"/>
  <c r="Q339" i="13"/>
  <c r="T339" i="13" s="1"/>
  <c r="R339" i="13"/>
  <c r="S339" i="13"/>
  <c r="U339" i="13"/>
  <c r="O340" i="13"/>
  <c r="P340" i="13"/>
  <c r="T340" i="13"/>
  <c r="U340" i="13"/>
  <c r="L341" i="13"/>
  <c r="L339" i="13" s="1"/>
  <c r="O339" i="13" s="1"/>
  <c r="M341" i="13"/>
  <c r="P341" i="13" s="1"/>
  <c r="N341" i="13"/>
  <c r="N339" i="13" s="1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Q357" i="13"/>
  <c r="T357" i="13" s="1"/>
  <c r="R357" i="13"/>
  <c r="S357" i="13"/>
  <c r="S356" i="13" s="1"/>
  <c r="U357" i="13"/>
  <c r="Q358" i="13"/>
  <c r="T358" i="13" s="1"/>
  <c r="R358" i="13"/>
  <c r="U358" i="13" s="1"/>
  <c r="S358" i="13"/>
  <c r="Q359" i="13"/>
  <c r="T359" i="13" s="1"/>
  <c r="R359" i="13"/>
  <c r="S359" i="13"/>
  <c r="U359" i="13"/>
  <c r="O360" i="13"/>
  <c r="P360" i="13"/>
  <c r="T360" i="13"/>
  <c r="U360" i="13"/>
  <c r="L361" i="13"/>
  <c r="M361" i="13"/>
  <c r="M359" i="13" s="1"/>
  <c r="N361" i="13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L362" i="13" s="1"/>
  <c r="O362" i="13" s="1"/>
  <c r="M364" i="13"/>
  <c r="M362" i="13" s="1"/>
  <c r="P362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L376" i="13"/>
  <c r="M376" i="13"/>
  <c r="P376" i="13" s="1"/>
  <c r="N376" i="13"/>
  <c r="Q376" i="13"/>
  <c r="R376" i="13"/>
  <c r="S376" i="13"/>
  <c r="O379" i="13"/>
  <c r="P379" i="13"/>
  <c r="T379" i="13"/>
  <c r="U379" i="13"/>
  <c r="L380" i="13"/>
  <c r="L378" i="13" s="1"/>
  <c r="O378" i="13" s="1"/>
  <c r="M380" i="13"/>
  <c r="N380" i="13"/>
  <c r="N378" i="13" s="1"/>
  <c r="Q380" i="13"/>
  <c r="Q378" i="13" s="1"/>
  <c r="R380" i="13"/>
  <c r="S380" i="13"/>
  <c r="S377" i="13" s="1"/>
  <c r="S375" i="13" s="1"/>
  <c r="Q381" i="13"/>
  <c r="T381" i="13" s="1"/>
  <c r="R381" i="13"/>
  <c r="U381" i="13" s="1"/>
  <c r="S381" i="13"/>
  <c r="O382" i="13"/>
  <c r="P382" i="13"/>
  <c r="T382" i="13"/>
  <c r="U382" i="13"/>
  <c r="L383" i="13"/>
  <c r="O383" i="13" s="1"/>
  <c r="M383" i="13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3" i="13"/>
  <c r="M393" i="13"/>
  <c r="N393" i="13"/>
  <c r="N392" i="13" s="1"/>
  <c r="O393" i="13"/>
  <c r="Q393" i="13"/>
  <c r="R393" i="13"/>
  <c r="S393" i="13"/>
  <c r="T393" i="13"/>
  <c r="U393" i="13"/>
  <c r="L394" i="13"/>
  <c r="O394" i="13" s="1"/>
  <c r="M394" i="13"/>
  <c r="N394" i="13"/>
  <c r="P394" i="13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R397" i="13"/>
  <c r="R395" i="13" s="1"/>
  <c r="U395" i="13" s="1"/>
  <c r="S397" i="13"/>
  <c r="L398" i="13"/>
  <c r="M398" i="13"/>
  <c r="P398" i="13" s="1"/>
  <c r="N398" i="13"/>
  <c r="O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M414" i="13"/>
  <c r="N414" i="13"/>
  <c r="O414" i="13"/>
  <c r="Q414" i="13"/>
  <c r="T414" i="13" s="1"/>
  <c r="R414" i="13"/>
  <c r="S414" i="13"/>
  <c r="U414" i="13"/>
  <c r="O417" i="13"/>
  <c r="P417" i="13"/>
  <c r="T417" i="13"/>
  <c r="U417" i="13"/>
  <c r="L418" i="13"/>
  <c r="L416" i="13" s="1"/>
  <c r="M418" i="13"/>
  <c r="M416" i="13" s="1"/>
  <c r="N418" i="13"/>
  <c r="N416" i="13" s="1"/>
  <c r="Q418" i="13"/>
  <c r="R418" i="13"/>
  <c r="R415" i="13" s="1"/>
  <c r="S418" i="13"/>
  <c r="Q419" i="13"/>
  <c r="T419" i="13" s="1"/>
  <c r="R419" i="13"/>
  <c r="U419" i="13" s="1"/>
  <c r="S419" i="13"/>
  <c r="O420" i="13"/>
  <c r="P420" i="13"/>
  <c r="T420" i="13"/>
  <c r="U420" i="13"/>
  <c r="L421" i="13"/>
  <c r="L419" i="13" s="1"/>
  <c r="O419" i="13" s="1"/>
  <c r="M421" i="13"/>
  <c r="M419" i="13" s="1"/>
  <c r="P419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I441" i="13"/>
  <c r="K441" i="13" s="1"/>
  <c r="J446" i="13"/>
  <c r="J440" i="13" s="1"/>
  <c r="J423" i="13" s="1"/>
  <c r="J412" i="13" s="1"/>
  <c r="J447" i="13"/>
  <c r="J441" i="13" s="1"/>
  <c r="I457" i="13"/>
  <c r="I458" i="13"/>
  <c r="K458" i="13" s="1"/>
  <c r="J459" i="13"/>
  <c r="J457" i="13" s="1"/>
  <c r="J456" i="13" s="1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K485" i="13" s="1"/>
  <c r="J485" i="13"/>
  <c r="L494" i="13"/>
  <c r="M494" i="13"/>
  <c r="P494" i="13" s="1"/>
  <c r="N494" i="13"/>
  <c r="O494" i="13"/>
  <c r="Q494" i="13"/>
  <c r="R494" i="13"/>
  <c r="S494" i="13"/>
  <c r="O497" i="13"/>
  <c r="P497" i="13"/>
  <c r="T497" i="13"/>
  <c r="U497" i="13"/>
  <c r="L498" i="13"/>
  <c r="L496" i="13" s="1"/>
  <c r="M498" i="13"/>
  <c r="N498" i="13"/>
  <c r="Q498" i="13"/>
  <c r="Q496" i="13" s="1"/>
  <c r="R498" i="13"/>
  <c r="R495" i="13" s="1"/>
  <c r="S498" i="13"/>
  <c r="Q499" i="13"/>
  <c r="T499" i="13" s="1"/>
  <c r="R499" i="13"/>
  <c r="S499" i="13"/>
  <c r="U499" i="13"/>
  <c r="O500" i="13"/>
  <c r="P500" i="13"/>
  <c r="T500" i="13"/>
  <c r="U500" i="13"/>
  <c r="L501" i="13"/>
  <c r="L499" i="13" s="1"/>
  <c r="O499" i="13" s="1"/>
  <c r="M501" i="13"/>
  <c r="N501" i="13"/>
  <c r="N499" i="13" s="1"/>
  <c r="T501" i="13"/>
  <c r="U501" i="13"/>
  <c r="I503" i="13"/>
  <c r="J503" i="13"/>
  <c r="J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L514" i="13"/>
  <c r="M514" i="13"/>
  <c r="N514" i="13"/>
  <c r="O514" i="13"/>
  <c r="P514" i="13"/>
  <c r="Q514" i="13"/>
  <c r="T514" i="13" s="1"/>
  <c r="R514" i="13"/>
  <c r="U514" i="13" s="1"/>
  <c r="S514" i="13"/>
  <c r="S513" i="13" s="1"/>
  <c r="Q515" i="13"/>
  <c r="R515" i="13"/>
  <c r="U515" i="13" s="1"/>
  <c r="S515" i="13"/>
  <c r="Q516" i="13"/>
  <c r="T516" i="13" s="1"/>
  <c r="R516" i="13"/>
  <c r="S516" i="13"/>
  <c r="U516" i="13"/>
  <c r="O517" i="13"/>
  <c r="P517" i="13"/>
  <c r="T517" i="13"/>
  <c r="U517" i="13"/>
  <c r="L518" i="13"/>
  <c r="L516" i="13" s="1"/>
  <c r="O516" i="13" s="1"/>
  <c r="M518" i="13"/>
  <c r="N518" i="13"/>
  <c r="N516" i="13" s="1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L519" i="13" s="1"/>
  <c r="O519" i="13" s="1"/>
  <c r="M521" i="13"/>
  <c r="N521" i="13"/>
  <c r="N519" i="13" s="1"/>
  <c r="T521" i="13"/>
  <c r="U521" i="13"/>
  <c r="K523" i="13"/>
  <c r="K524" i="13"/>
  <c r="I533" i="13"/>
  <c r="K533" i="13" s="1"/>
  <c r="J533" i="13"/>
  <c r="L535" i="13"/>
  <c r="O535" i="13" s="1"/>
  <c r="M535" i="13"/>
  <c r="N535" i="13"/>
  <c r="P535" i="13"/>
  <c r="Q535" i="13"/>
  <c r="R535" i="13"/>
  <c r="U535" i="13" s="1"/>
  <c r="S535" i="13"/>
  <c r="Q536" i="13"/>
  <c r="T536" i="13" s="1"/>
  <c r="R536" i="13"/>
  <c r="U536" i="13" s="1"/>
  <c r="S536" i="13"/>
  <c r="Q537" i="13"/>
  <c r="R537" i="13"/>
  <c r="U537" i="13" s="1"/>
  <c r="S537" i="13"/>
  <c r="T537" i="13"/>
  <c r="O538" i="13"/>
  <c r="P538" i="13"/>
  <c r="T538" i="13"/>
  <c r="U538" i="13"/>
  <c r="L539" i="13"/>
  <c r="O539" i="13" s="1"/>
  <c r="M539" i="13"/>
  <c r="N539" i="13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O542" i="13" s="1"/>
  <c r="M542" i="13"/>
  <c r="M540" i="13" s="1"/>
  <c r="P540" i="13" s="1"/>
  <c r="N542" i="13"/>
  <c r="N540" i="13" s="1"/>
  <c r="T542" i="13"/>
  <c r="U542" i="13"/>
  <c r="I554" i="13"/>
  <c r="K554" i="13" s="1"/>
  <c r="J554" i="13"/>
  <c r="Q555" i="13"/>
  <c r="T555" i="13" s="1"/>
  <c r="L556" i="13"/>
  <c r="M556" i="13"/>
  <c r="N556" i="13"/>
  <c r="O556" i="13"/>
  <c r="Q556" i="13"/>
  <c r="R556" i="13"/>
  <c r="S556" i="13"/>
  <c r="T556" i="13"/>
  <c r="U556" i="13"/>
  <c r="Q557" i="13"/>
  <c r="T557" i="13" s="1"/>
  <c r="R557" i="13"/>
  <c r="R555" i="13" s="1"/>
  <c r="U555" i="13" s="1"/>
  <c r="S557" i="13"/>
  <c r="Q558" i="13"/>
  <c r="T558" i="13" s="1"/>
  <c r="R558" i="13"/>
  <c r="S558" i="13"/>
  <c r="U558" i="13"/>
  <c r="O559" i="13"/>
  <c r="P559" i="13"/>
  <c r="T559" i="13"/>
  <c r="U559" i="13"/>
  <c r="L560" i="13"/>
  <c r="L558" i="13" s="1"/>
  <c r="O558" i="13" s="1"/>
  <c r="M560" i="13"/>
  <c r="N560" i="13"/>
  <c r="N558" i="13" s="1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O563" i="13" s="1"/>
  <c r="M563" i="13"/>
  <c r="M561" i="13" s="1"/>
  <c r="P561" i="13" s="1"/>
  <c r="N563" i="13"/>
  <c r="N561" i="13" s="1"/>
  <c r="T563" i="13"/>
  <c r="U563" i="13"/>
  <c r="I575" i="13"/>
  <c r="K575" i="13" s="1"/>
  <c r="J575" i="13"/>
  <c r="L577" i="13"/>
  <c r="O577" i="13" s="1"/>
  <c r="M577" i="13"/>
  <c r="P577" i="13" s="1"/>
  <c r="N577" i="13"/>
  <c r="Q577" i="13"/>
  <c r="R577" i="13"/>
  <c r="S577" i="13"/>
  <c r="S576" i="13" s="1"/>
  <c r="Q578" i="13"/>
  <c r="T578" i="13" s="1"/>
  <c r="R578" i="13"/>
  <c r="S578" i="13"/>
  <c r="U578" i="13"/>
  <c r="Q579" i="13"/>
  <c r="T579" i="13" s="1"/>
  <c r="R579" i="13"/>
  <c r="U579" i="13" s="1"/>
  <c r="S579" i="13"/>
  <c r="O580" i="13"/>
  <c r="P580" i="13"/>
  <c r="T580" i="13"/>
  <c r="U580" i="13"/>
  <c r="L581" i="13"/>
  <c r="L579" i="13" s="1"/>
  <c r="O579" i="13" s="1"/>
  <c r="M581" i="13"/>
  <c r="M579" i="13" s="1"/>
  <c r="P579" i="13" s="1"/>
  <c r="N581" i="13"/>
  <c r="T581" i="13"/>
  <c r="U581" i="13"/>
  <c r="Q582" i="13"/>
  <c r="T582" i="13" s="1"/>
  <c r="R582" i="13"/>
  <c r="S582" i="13"/>
  <c r="U582" i="13"/>
  <c r="O583" i="13"/>
  <c r="P583" i="13"/>
  <c r="T583" i="13"/>
  <c r="U583" i="13"/>
  <c r="L584" i="13"/>
  <c r="M584" i="13"/>
  <c r="N584" i="13"/>
  <c r="N582" i="13" s="1"/>
  <c r="T584" i="13"/>
  <c r="U584" i="13"/>
  <c r="L600" i="13"/>
  <c r="O600" i="13" s="1"/>
  <c r="M600" i="13"/>
  <c r="P600" i="13" s="1"/>
  <c r="N600" i="13"/>
  <c r="Q600" i="13"/>
  <c r="R600" i="13"/>
  <c r="S600" i="13"/>
  <c r="O603" i="13"/>
  <c r="P603" i="13"/>
  <c r="T603" i="13"/>
  <c r="U603" i="13"/>
  <c r="L604" i="13"/>
  <c r="L602" i="13" s="1"/>
  <c r="M604" i="13"/>
  <c r="M602" i="13" s="1"/>
  <c r="N604" i="13"/>
  <c r="N602" i="13" s="1"/>
  <c r="Q604" i="13"/>
  <c r="T604" i="13" s="1"/>
  <c r="R604" i="13"/>
  <c r="S604" i="13"/>
  <c r="S602" i="13" s="1"/>
  <c r="O606" i="13"/>
  <c r="P606" i="13"/>
  <c r="T606" i="13"/>
  <c r="U606" i="13"/>
  <c r="L607" i="13"/>
  <c r="L605" i="13" s="1"/>
  <c r="O605" i="13" s="1"/>
  <c r="M607" i="13"/>
  <c r="N607" i="13"/>
  <c r="Q607" i="13"/>
  <c r="Q605" i="13" s="1"/>
  <c r="T605" i="13" s="1"/>
  <c r="R607" i="13"/>
  <c r="R605" i="13" s="1"/>
  <c r="U605" i="13" s="1"/>
  <c r="S607" i="13"/>
  <c r="N616" i="13"/>
  <c r="L617" i="13"/>
  <c r="L616" i="13" s="1"/>
  <c r="O616" i="13" s="1"/>
  <c r="M617" i="13"/>
  <c r="N617" i="13"/>
  <c r="P617" i="13"/>
  <c r="Q617" i="13"/>
  <c r="T617" i="13" s="1"/>
  <c r="R617" i="13"/>
  <c r="S617" i="13"/>
  <c r="U617" i="13"/>
  <c r="L618" i="13"/>
  <c r="O618" i="13" s="1"/>
  <c r="M618" i="13"/>
  <c r="P618" i="13" s="1"/>
  <c r="N618" i="13"/>
  <c r="L619" i="13"/>
  <c r="M619" i="13"/>
  <c r="P619" i="13" s="1"/>
  <c r="N619" i="13"/>
  <c r="O619" i="13"/>
  <c r="O620" i="13"/>
  <c r="P620" i="13"/>
  <c r="T620" i="13"/>
  <c r="U620" i="13"/>
  <c r="O621" i="13"/>
  <c r="P621" i="13"/>
  <c r="Q621" i="13"/>
  <c r="Q618" i="13" s="1"/>
  <c r="R621" i="13"/>
  <c r="R619" i="13" s="1"/>
  <c r="S621" i="13"/>
  <c r="S618" i="13" s="1"/>
  <c r="L622" i="13"/>
  <c r="O622" i="13" s="1"/>
  <c r="M622" i="13"/>
  <c r="N622" i="13"/>
  <c r="P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I615" i="13" s="1"/>
  <c r="I627" i="13"/>
  <c r="K627" i="13" s="1"/>
  <c r="I628" i="13"/>
  <c r="K628" i="13" s="1"/>
  <c r="J632" i="13"/>
  <c r="J626" i="13" s="1"/>
  <c r="I635" i="13"/>
  <c r="K635" i="13" s="1"/>
  <c r="J636" i="13"/>
  <c r="J635" i="13" s="1"/>
  <c r="L643" i="13"/>
  <c r="L642" i="13" s="1"/>
  <c r="O642" i="13" s="1"/>
  <c r="M643" i="13"/>
  <c r="P643" i="13" s="1"/>
  <c r="N643" i="13"/>
  <c r="N642" i="13" s="1"/>
  <c r="Q643" i="13"/>
  <c r="R643" i="13"/>
  <c r="U643" i="13" s="1"/>
  <c r="S643" i="13"/>
  <c r="T643" i="13"/>
  <c r="L644" i="13"/>
  <c r="O644" i="13" s="1"/>
  <c r="M644" i="13"/>
  <c r="N644" i="13"/>
  <c r="P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T645" i="13" s="1"/>
  <c r="R647" i="13"/>
  <c r="R644" i="13" s="1"/>
  <c r="U644" i="13" s="1"/>
  <c r="S647" i="13"/>
  <c r="S644" i="13" s="1"/>
  <c r="L648" i="13"/>
  <c r="O648" i="13" s="1"/>
  <c r="M648" i="13"/>
  <c r="N648" i="13"/>
  <c r="P648" i="13"/>
  <c r="Q648" i="13"/>
  <c r="T648" i="13" s="1"/>
  <c r="R648" i="13"/>
  <c r="S648" i="13"/>
  <c r="U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0" i="13"/>
  <c r="O690" i="13" s="1"/>
  <c r="L691" i="13"/>
  <c r="M691" i="13"/>
  <c r="M690" i="13" s="1"/>
  <c r="P690" i="13" s="1"/>
  <c r="N691" i="13"/>
  <c r="N690" i="13" s="1"/>
  <c r="O691" i="13"/>
  <c r="Q691" i="13"/>
  <c r="R691" i="13"/>
  <c r="S691" i="13"/>
  <c r="T691" i="13"/>
  <c r="U691" i="13"/>
  <c r="L692" i="13"/>
  <c r="O692" i="13" s="1"/>
  <c r="M692" i="13"/>
  <c r="P692" i="13" s="1"/>
  <c r="N692" i="13"/>
  <c r="L693" i="13"/>
  <c r="O693" i="13" s="1"/>
  <c r="M693" i="13"/>
  <c r="P693" i="13" s="1"/>
  <c r="N693" i="13"/>
  <c r="O694" i="13"/>
  <c r="P694" i="13"/>
  <c r="T694" i="13"/>
  <c r="U694" i="13"/>
  <c r="O695" i="13"/>
  <c r="P695" i="13"/>
  <c r="Q695" i="13"/>
  <c r="Q693" i="13" s="1"/>
  <c r="R695" i="13"/>
  <c r="R693" i="13" s="1"/>
  <c r="S695" i="13"/>
  <c r="S693" i="13" s="1"/>
  <c r="L696" i="13"/>
  <c r="M696" i="13"/>
  <c r="N696" i="13"/>
  <c r="O696" i="13"/>
  <c r="P696" i="13"/>
  <c r="Q696" i="13"/>
  <c r="T696" i="13" s="1"/>
  <c r="R696" i="13"/>
  <c r="S696" i="13"/>
  <c r="U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I689" i="13" s="1"/>
  <c r="K689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N715" i="13"/>
  <c r="Q715" i="13"/>
  <c r="R715" i="13"/>
  <c r="S715" i="13"/>
  <c r="S714" i="13" s="1"/>
  <c r="T715" i="13"/>
  <c r="L716" i="13"/>
  <c r="M716" i="13"/>
  <c r="N716" i="13"/>
  <c r="O716" i="13"/>
  <c r="P716" i="13"/>
  <c r="Q716" i="13"/>
  <c r="T716" i="13" s="1"/>
  <c r="R716" i="13"/>
  <c r="S716" i="13"/>
  <c r="U716" i="13"/>
  <c r="L717" i="13"/>
  <c r="O717" i="13" s="1"/>
  <c r="M717" i="13"/>
  <c r="P717" i="13" s="1"/>
  <c r="N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J726" i="13"/>
  <c r="I727" i="13"/>
  <c r="K727" i="13" s="1"/>
  <c r="J727" i="13"/>
  <c r="L729" i="13"/>
  <c r="M729" i="13"/>
  <c r="N729" i="13"/>
  <c r="Q729" i="13"/>
  <c r="R729" i="13"/>
  <c r="S729" i="13"/>
  <c r="T729" i="13"/>
  <c r="L730" i="13"/>
  <c r="O730" i="13" s="1"/>
  <c r="M730" i="13"/>
  <c r="N730" i="13"/>
  <c r="P730" i="13"/>
  <c r="L731" i="13"/>
  <c r="O731" i="13" s="1"/>
  <c r="M731" i="13"/>
  <c r="N731" i="13"/>
  <c r="P731" i="13"/>
  <c r="O732" i="13"/>
  <c r="P732" i="13"/>
  <c r="T732" i="13"/>
  <c r="U732" i="13"/>
  <c r="O733" i="13"/>
  <c r="P733" i="13"/>
  <c r="Q733" i="13"/>
  <c r="Q731" i="13" s="1"/>
  <c r="R733" i="13"/>
  <c r="S733" i="13"/>
  <c r="S731" i="13" s="1"/>
  <c r="L734" i="13"/>
  <c r="O734" i="13" s="1"/>
  <c r="M734" i="13"/>
  <c r="P734" i="13" s="1"/>
  <c r="N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N761" i="13"/>
  <c r="N760" i="13" s="1"/>
  <c r="O761" i="13"/>
  <c r="Q761" i="13"/>
  <c r="R761" i="13"/>
  <c r="S761" i="13"/>
  <c r="T761" i="13"/>
  <c r="U761" i="13"/>
  <c r="L762" i="13"/>
  <c r="O762" i="13" s="1"/>
  <c r="M762" i="13"/>
  <c r="N762" i="13"/>
  <c r="P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2" i="13" s="1"/>
  <c r="T762" i="13" s="1"/>
  <c r="R765" i="13"/>
  <c r="R763" i="13" s="1"/>
  <c r="U763" i="13" s="1"/>
  <c r="S765" i="13"/>
  <c r="L766" i="13"/>
  <c r="M766" i="13"/>
  <c r="P766" i="13" s="1"/>
  <c r="N766" i="13"/>
  <c r="O766" i="13"/>
  <c r="Q766" i="13"/>
  <c r="R766" i="13"/>
  <c r="U766" i="13" s="1"/>
  <c r="S766" i="13"/>
  <c r="T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K772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L19" i="12" s="1"/>
  <c r="M22" i="12"/>
  <c r="N22" i="12"/>
  <c r="N19" i="12" s="1"/>
  <c r="Q22" i="12"/>
  <c r="Q19" i="12" s="1"/>
  <c r="T19" i="12" s="1"/>
  <c r="R22" i="12"/>
  <c r="S22" i="12"/>
  <c r="L25" i="12"/>
  <c r="M25" i="12"/>
  <c r="N25" i="12"/>
  <c r="Q25" i="12"/>
  <c r="T25" i="12" s="1"/>
  <c r="R25" i="12"/>
  <c r="S25" i="12"/>
  <c r="L45" i="12"/>
  <c r="O45" i="12" s="1"/>
  <c r="M45" i="12"/>
  <c r="P45" i="12" s="1"/>
  <c r="N45" i="12"/>
  <c r="Q45" i="12"/>
  <c r="R45" i="12"/>
  <c r="U45" i="12" s="1"/>
  <c r="S45" i="12"/>
  <c r="T45" i="12"/>
  <c r="Q46" i="12"/>
  <c r="R46" i="12"/>
  <c r="R44" i="12" s="1"/>
  <c r="U44" i="12" s="1"/>
  <c r="S46" i="12"/>
  <c r="S44" i="12" s="1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O52" i="12" s="1"/>
  <c r="M52" i="12"/>
  <c r="N52" i="12"/>
  <c r="T52" i="12"/>
  <c r="U52" i="12"/>
  <c r="L60" i="12"/>
  <c r="M60" i="12"/>
  <c r="N60" i="12"/>
  <c r="O60" i="12"/>
  <c r="Q60" i="12"/>
  <c r="R60" i="12"/>
  <c r="S60" i="12"/>
  <c r="U60" i="12"/>
  <c r="Q61" i="12"/>
  <c r="T61" i="12" s="1"/>
  <c r="R61" i="12"/>
  <c r="S61" i="12"/>
  <c r="Q62" i="12"/>
  <c r="T62" i="12" s="1"/>
  <c r="R62" i="12"/>
  <c r="U62" i="12" s="1"/>
  <c r="S62" i="12"/>
  <c r="O63" i="12"/>
  <c r="P63" i="12"/>
  <c r="T63" i="12"/>
  <c r="U63" i="12"/>
  <c r="L64" i="12"/>
  <c r="M64" i="12"/>
  <c r="N64" i="12"/>
  <c r="N62" i="12" s="1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L65" i="12" s="1"/>
  <c r="M67" i="12"/>
  <c r="N67" i="12"/>
  <c r="N65" i="12" s="1"/>
  <c r="T67" i="12"/>
  <c r="U67" i="12"/>
  <c r="L73" i="12"/>
  <c r="M73" i="12"/>
  <c r="P73" i="12" s="1"/>
  <c r="N73" i="12"/>
  <c r="O73" i="12"/>
  <c r="Q73" i="12"/>
  <c r="R73" i="12"/>
  <c r="S73" i="12"/>
  <c r="T73" i="12"/>
  <c r="U73" i="12"/>
  <c r="O76" i="12"/>
  <c r="P76" i="12"/>
  <c r="T76" i="12"/>
  <c r="U76" i="12"/>
  <c r="L77" i="12"/>
  <c r="O77" i="12" s="1"/>
  <c r="M77" i="12"/>
  <c r="M75" i="12" s="1"/>
  <c r="P75" i="12" s="1"/>
  <c r="N77" i="12"/>
  <c r="Q77" i="12"/>
  <c r="R77" i="12"/>
  <c r="S77" i="12"/>
  <c r="S75" i="12" s="1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Q80" i="12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O95" i="12" s="1"/>
  <c r="M95" i="12"/>
  <c r="N95" i="12"/>
  <c r="Q95" i="12"/>
  <c r="T95" i="12" s="1"/>
  <c r="R95" i="12"/>
  <c r="U95" i="12" s="1"/>
  <c r="S95" i="12"/>
  <c r="O98" i="12"/>
  <c r="P98" i="12"/>
  <c r="T98" i="12"/>
  <c r="U98" i="12"/>
  <c r="L99" i="12"/>
  <c r="O99" i="12" s="1"/>
  <c r="M99" i="12"/>
  <c r="M97" i="12" s="1"/>
  <c r="P97" i="12" s="1"/>
  <c r="N99" i="12"/>
  <c r="N97" i="12" s="1"/>
  <c r="Q99" i="12"/>
  <c r="R99" i="12"/>
  <c r="R96" i="12" s="1"/>
  <c r="U96" i="12" s="1"/>
  <c r="S99" i="12"/>
  <c r="S97" i="12" s="1"/>
  <c r="Q100" i="12"/>
  <c r="T100" i="12" s="1"/>
  <c r="R100" i="12"/>
  <c r="U100" i="12" s="1"/>
  <c r="S100" i="12"/>
  <c r="O101" i="12"/>
  <c r="P101" i="12"/>
  <c r="T101" i="12"/>
  <c r="U101" i="12"/>
  <c r="L102" i="12"/>
  <c r="L100" i="12" s="1"/>
  <c r="O100" i="12" s="1"/>
  <c r="M102" i="12"/>
  <c r="N102" i="12"/>
  <c r="N100" i="12" s="1"/>
  <c r="T102" i="12"/>
  <c r="U102" i="12"/>
  <c r="I108" i="12"/>
  <c r="I109" i="12"/>
  <c r="K109" i="12" s="1"/>
  <c r="I114" i="12"/>
  <c r="K114" i="12" s="1"/>
  <c r="J116" i="12"/>
  <c r="L118" i="12"/>
  <c r="O118" i="12" s="1"/>
  <c r="M118" i="12"/>
  <c r="N118" i="12"/>
  <c r="Q118" i="12"/>
  <c r="R118" i="12"/>
  <c r="U118" i="12" s="1"/>
  <c r="S118" i="12"/>
  <c r="O121" i="12"/>
  <c r="P121" i="12"/>
  <c r="T121" i="12"/>
  <c r="U121" i="12"/>
  <c r="L122" i="12"/>
  <c r="O122" i="12" s="1"/>
  <c r="M122" i="12"/>
  <c r="N122" i="12"/>
  <c r="N120" i="12" s="1"/>
  <c r="Q122" i="12"/>
  <c r="R122" i="12"/>
  <c r="S122" i="12"/>
  <c r="S120" i="12" s="1"/>
  <c r="O124" i="12"/>
  <c r="P124" i="12"/>
  <c r="T124" i="12"/>
  <c r="U124" i="12"/>
  <c r="L125" i="12"/>
  <c r="L123" i="12" s="1"/>
  <c r="O123" i="12" s="1"/>
  <c r="M125" i="12"/>
  <c r="N125" i="12"/>
  <c r="N123" i="12" s="1"/>
  <c r="Q125" i="12"/>
  <c r="R125" i="12"/>
  <c r="S125" i="12"/>
  <c r="S123" i="12" s="1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P140" i="12" s="1"/>
  <c r="N140" i="12"/>
  <c r="Q140" i="12"/>
  <c r="T140" i="12" s="1"/>
  <c r="R140" i="12"/>
  <c r="S140" i="12"/>
  <c r="U140" i="12"/>
  <c r="O143" i="12"/>
  <c r="P143" i="12"/>
  <c r="T143" i="12"/>
  <c r="U143" i="12"/>
  <c r="L144" i="12"/>
  <c r="M144" i="12"/>
  <c r="N144" i="12"/>
  <c r="Q144" i="12"/>
  <c r="Q142" i="12" s="1"/>
  <c r="R144" i="12"/>
  <c r="S144" i="12"/>
  <c r="S142" i="12" s="1"/>
  <c r="O146" i="12"/>
  <c r="P146" i="12"/>
  <c r="T146" i="12"/>
  <c r="U146" i="12"/>
  <c r="L147" i="12"/>
  <c r="O147" i="12" s="1"/>
  <c r="M147" i="12"/>
  <c r="M145" i="12" s="1"/>
  <c r="P145" i="12" s="1"/>
  <c r="N147" i="12"/>
  <c r="N145" i="12" s="1"/>
  <c r="Q147" i="12"/>
  <c r="R147" i="12"/>
  <c r="R145" i="12" s="1"/>
  <c r="S147" i="12"/>
  <c r="S145" i="12" s="1"/>
  <c r="I150" i="12"/>
  <c r="K150" i="12" s="1"/>
  <c r="I151" i="12"/>
  <c r="K151" i="12" s="1"/>
  <c r="I152" i="12"/>
  <c r="I153" i="12"/>
  <c r="I154" i="12"/>
  <c r="I136" i="12" s="1"/>
  <c r="K136" i="12" s="1"/>
  <c r="J156" i="12"/>
  <c r="L158" i="12"/>
  <c r="M158" i="12"/>
  <c r="N158" i="12"/>
  <c r="Q158" i="12"/>
  <c r="T158" i="12" s="1"/>
  <c r="R158" i="12"/>
  <c r="S158" i="12"/>
  <c r="O161" i="12"/>
  <c r="P161" i="12"/>
  <c r="T161" i="12"/>
  <c r="U161" i="12"/>
  <c r="L162" i="12"/>
  <c r="M162" i="12"/>
  <c r="N162" i="12"/>
  <c r="N160" i="12" s="1"/>
  <c r="Q162" i="12"/>
  <c r="R162" i="12"/>
  <c r="R159" i="12" s="1"/>
  <c r="U159" i="12" s="1"/>
  <c r="S162" i="12"/>
  <c r="Q163" i="12"/>
  <c r="T163" i="12" s="1"/>
  <c r="R163" i="12"/>
  <c r="U163" i="12" s="1"/>
  <c r="S163" i="12"/>
  <c r="O164" i="12"/>
  <c r="P164" i="12"/>
  <c r="T164" i="12"/>
  <c r="U164" i="12"/>
  <c r="L165" i="12"/>
  <c r="M165" i="12"/>
  <c r="P165" i="12" s="1"/>
  <c r="N165" i="12"/>
  <c r="N163" i="12" s="1"/>
  <c r="T165" i="12"/>
  <c r="U165" i="12"/>
  <c r="I167" i="12"/>
  <c r="K167" i="12" s="1"/>
  <c r="I168" i="12"/>
  <c r="K168" i="12" s="1"/>
  <c r="I169" i="12"/>
  <c r="K169" i="12" s="1"/>
  <c r="J172" i="12"/>
  <c r="L174" i="12"/>
  <c r="O174" i="12" s="1"/>
  <c r="M174" i="12"/>
  <c r="N174" i="12"/>
  <c r="Q174" i="12"/>
  <c r="R174" i="12"/>
  <c r="U174" i="12" s="1"/>
  <c r="S174" i="12"/>
  <c r="O177" i="12"/>
  <c r="P177" i="12"/>
  <c r="T177" i="12"/>
  <c r="U177" i="12"/>
  <c r="L178" i="12"/>
  <c r="M178" i="12"/>
  <c r="N178" i="12"/>
  <c r="N176" i="12" s="1"/>
  <c r="Q178" i="12"/>
  <c r="R178" i="12"/>
  <c r="R175" i="12" s="1"/>
  <c r="U175" i="12" s="1"/>
  <c r="S178" i="12"/>
  <c r="S176" i="12" s="1"/>
  <c r="Q179" i="12"/>
  <c r="T179" i="12" s="1"/>
  <c r="R179" i="12"/>
  <c r="U179" i="12" s="1"/>
  <c r="S179" i="12"/>
  <c r="O180" i="12"/>
  <c r="P180" i="12"/>
  <c r="T180" i="12"/>
  <c r="U180" i="12"/>
  <c r="L181" i="12"/>
  <c r="L179" i="12" s="1"/>
  <c r="O179" i="12" s="1"/>
  <c r="M181" i="12"/>
  <c r="M179" i="12" s="1"/>
  <c r="P179" i="12" s="1"/>
  <c r="N181" i="12"/>
  <c r="N179" i="12" s="1"/>
  <c r="T181" i="12"/>
  <c r="U181" i="12"/>
  <c r="I183" i="12"/>
  <c r="K183" i="12" s="1"/>
  <c r="K184" i="12"/>
  <c r="L187" i="12"/>
  <c r="M187" i="12"/>
  <c r="P187" i="12" s="1"/>
  <c r="N187" i="12"/>
  <c r="Q187" i="12"/>
  <c r="T187" i="12" s="1"/>
  <c r="R187" i="12"/>
  <c r="U187" i="12" s="1"/>
  <c r="S187" i="12"/>
  <c r="O190" i="12"/>
  <c r="P190" i="12"/>
  <c r="T190" i="12"/>
  <c r="U190" i="12"/>
  <c r="L191" i="12"/>
  <c r="M191" i="12"/>
  <c r="M189" i="12" s="1"/>
  <c r="N191" i="12"/>
  <c r="Q191" i="12"/>
  <c r="Q189" i="12" s="1"/>
  <c r="R191" i="12"/>
  <c r="R189" i="12" s="1"/>
  <c r="S191" i="12"/>
  <c r="S189" i="12" s="1"/>
  <c r="O193" i="12"/>
  <c r="P193" i="12"/>
  <c r="T193" i="12"/>
  <c r="U193" i="12"/>
  <c r="L194" i="12"/>
  <c r="M194" i="12"/>
  <c r="M192" i="12" s="1"/>
  <c r="P192" i="12" s="1"/>
  <c r="N194" i="12"/>
  <c r="N192" i="12" s="1"/>
  <c r="Q194" i="12"/>
  <c r="R194" i="12"/>
  <c r="S194" i="12"/>
  <c r="S192" i="12" s="1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30" i="12"/>
  <c r="K230" i="12" s="1"/>
  <c r="N233" i="12"/>
  <c r="N234" i="12"/>
  <c r="N235" i="12"/>
  <c r="N236" i="12"/>
  <c r="J238" i="12"/>
  <c r="I240" i="12"/>
  <c r="J240" i="12"/>
  <c r="K240" i="12"/>
  <c r="I241" i="12"/>
  <c r="K241" i="12" s="1"/>
  <c r="J241" i="12"/>
  <c r="J242" i="12"/>
  <c r="N243" i="12"/>
  <c r="P243" i="12"/>
  <c r="L244" i="12"/>
  <c r="L245" i="12"/>
  <c r="L246" i="12"/>
  <c r="L247" i="12"/>
  <c r="I249" i="12"/>
  <c r="I242" i="12" s="1"/>
  <c r="K251" i="12"/>
  <c r="K252" i="12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M267" i="12"/>
  <c r="P267" i="12" s="1"/>
  <c r="N267" i="12"/>
  <c r="Q267" i="12"/>
  <c r="R267" i="12"/>
  <c r="U267" i="12" s="1"/>
  <c r="S267" i="12"/>
  <c r="T267" i="12"/>
  <c r="O270" i="12"/>
  <c r="P270" i="12"/>
  <c r="T270" i="12"/>
  <c r="U270" i="12"/>
  <c r="L271" i="12"/>
  <c r="M271" i="12"/>
  <c r="M269" i="12" s="1"/>
  <c r="N271" i="12"/>
  <c r="Q271" i="12"/>
  <c r="Q269" i="12" s="1"/>
  <c r="R271" i="12"/>
  <c r="R268" i="12" s="1"/>
  <c r="R266" i="12" s="1"/>
  <c r="S271" i="12"/>
  <c r="Q272" i="12"/>
  <c r="T272" i="12" s="1"/>
  <c r="R272" i="12"/>
  <c r="U272" i="12" s="1"/>
  <c r="S272" i="12"/>
  <c r="O273" i="12"/>
  <c r="P273" i="12"/>
  <c r="T273" i="12"/>
  <c r="U273" i="12"/>
  <c r="L274" i="12"/>
  <c r="M274" i="12"/>
  <c r="N274" i="12"/>
  <c r="N272" i="12" s="1"/>
  <c r="T274" i="12"/>
  <c r="U274" i="12"/>
  <c r="I276" i="12"/>
  <c r="I265" i="12" s="1"/>
  <c r="K265" i="12" s="1"/>
  <c r="J281" i="12"/>
  <c r="L283" i="12"/>
  <c r="M283" i="12"/>
  <c r="P283" i="12" s="1"/>
  <c r="N283" i="12"/>
  <c r="Q283" i="12"/>
  <c r="R283" i="12"/>
  <c r="S283" i="12"/>
  <c r="Q284" i="12"/>
  <c r="T284" i="12" s="1"/>
  <c r="R284" i="12"/>
  <c r="S284" i="12"/>
  <c r="U284" i="12"/>
  <c r="Q285" i="12"/>
  <c r="T285" i="12" s="1"/>
  <c r="R285" i="12"/>
  <c r="S285" i="12"/>
  <c r="U285" i="12"/>
  <c r="O286" i="12"/>
  <c r="P286" i="12"/>
  <c r="T286" i="12"/>
  <c r="U286" i="12"/>
  <c r="L287" i="12"/>
  <c r="L285" i="12" s="1"/>
  <c r="O285" i="12" s="1"/>
  <c r="M287" i="12"/>
  <c r="N287" i="12"/>
  <c r="N285" i="12" s="1"/>
  <c r="T287" i="12"/>
  <c r="U287" i="12"/>
  <c r="Q288" i="12"/>
  <c r="R288" i="12"/>
  <c r="U288" i="12" s="1"/>
  <c r="S288" i="12"/>
  <c r="T288" i="12"/>
  <c r="O289" i="12"/>
  <c r="P289" i="12"/>
  <c r="T289" i="12"/>
  <c r="U289" i="12"/>
  <c r="L290" i="12"/>
  <c r="O290" i="12" s="1"/>
  <c r="M290" i="12"/>
  <c r="N290" i="12"/>
  <c r="N288" i="12" s="1"/>
  <c r="T290" i="12"/>
  <c r="U290" i="12"/>
  <c r="I292" i="12"/>
  <c r="I281" i="12" s="1"/>
  <c r="K281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M304" i="12"/>
  <c r="N304" i="12"/>
  <c r="Q304" i="12"/>
  <c r="R304" i="12"/>
  <c r="S304" i="12"/>
  <c r="O307" i="12"/>
  <c r="P307" i="12"/>
  <c r="T307" i="12"/>
  <c r="U307" i="12"/>
  <c r="L308" i="12"/>
  <c r="L306" i="12" s="1"/>
  <c r="O306" i="12" s="1"/>
  <c r="M308" i="12"/>
  <c r="N308" i="12"/>
  <c r="Q308" i="12"/>
  <c r="Q305" i="12" s="1"/>
  <c r="T305" i="12" s="1"/>
  <c r="R308" i="12"/>
  <c r="R306" i="12" s="1"/>
  <c r="U306" i="12" s="1"/>
  <c r="S308" i="12"/>
  <c r="S306" i="12" s="1"/>
  <c r="Q309" i="12"/>
  <c r="T309" i="12" s="1"/>
  <c r="R309" i="12"/>
  <c r="S309" i="12"/>
  <c r="U309" i="12"/>
  <c r="O310" i="12"/>
  <c r="P310" i="12"/>
  <c r="T310" i="12"/>
  <c r="U310" i="12"/>
  <c r="L311" i="12"/>
  <c r="L309" i="12" s="1"/>
  <c r="O309" i="12" s="1"/>
  <c r="M311" i="12"/>
  <c r="N311" i="12"/>
  <c r="N309" i="12" s="1"/>
  <c r="T311" i="12"/>
  <c r="U311" i="12"/>
  <c r="I314" i="12"/>
  <c r="I302" i="12" s="1"/>
  <c r="K302" i="12" s="1"/>
  <c r="J319" i="12"/>
  <c r="L321" i="12"/>
  <c r="O321" i="12" s="1"/>
  <c r="M321" i="12"/>
  <c r="P321" i="12" s="1"/>
  <c r="N321" i="12"/>
  <c r="Q321" i="12"/>
  <c r="Q320" i="12" s="1"/>
  <c r="T320" i="12" s="1"/>
  <c r="R321" i="12"/>
  <c r="S321" i="12"/>
  <c r="U321" i="12"/>
  <c r="Q322" i="12"/>
  <c r="T322" i="12" s="1"/>
  <c r="R322" i="12"/>
  <c r="S322" i="12"/>
  <c r="S320" i="12" s="1"/>
  <c r="Q323" i="12"/>
  <c r="T323" i="12" s="1"/>
  <c r="R323" i="12"/>
  <c r="S323" i="12"/>
  <c r="U323" i="12"/>
  <c r="O324" i="12"/>
  <c r="P324" i="12"/>
  <c r="T324" i="12"/>
  <c r="U324" i="12"/>
  <c r="L325" i="12"/>
  <c r="M325" i="12"/>
  <c r="N325" i="12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6" i="12" s="1"/>
  <c r="O326" i="12" s="1"/>
  <c r="M328" i="12"/>
  <c r="N328" i="12"/>
  <c r="N326" i="12" s="1"/>
  <c r="T328" i="12"/>
  <c r="U328" i="12"/>
  <c r="I330" i="12"/>
  <c r="L334" i="12"/>
  <c r="M334" i="12"/>
  <c r="N334" i="12"/>
  <c r="P334" i="12"/>
  <c r="Q334" i="12"/>
  <c r="R334" i="12"/>
  <c r="S334" i="12"/>
  <c r="Q335" i="12"/>
  <c r="T335" i="12" s="1"/>
  <c r="R335" i="12"/>
  <c r="U335" i="12" s="1"/>
  <c r="S335" i="12"/>
  <c r="Q336" i="12"/>
  <c r="T336" i="12" s="1"/>
  <c r="R336" i="12"/>
  <c r="U336" i="12" s="1"/>
  <c r="S336" i="12"/>
  <c r="O337" i="12"/>
  <c r="P337" i="12"/>
  <c r="T337" i="12"/>
  <c r="U337" i="12"/>
  <c r="L338" i="12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M341" i="12"/>
  <c r="M339" i="12" s="1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L357" i="12"/>
  <c r="O357" i="12" s="1"/>
  <c r="M357" i="12"/>
  <c r="P357" i="12" s="1"/>
  <c r="N357" i="12"/>
  <c r="Q357" i="12"/>
  <c r="R357" i="12"/>
  <c r="U357" i="12" s="1"/>
  <c r="S357" i="12"/>
  <c r="T357" i="12"/>
  <c r="Q358" i="12"/>
  <c r="R358" i="12"/>
  <c r="U358" i="12" s="1"/>
  <c r="S358" i="12"/>
  <c r="Q359" i="12"/>
  <c r="T359" i="12" s="1"/>
  <c r="R359" i="12"/>
  <c r="U359" i="12" s="1"/>
  <c r="S359" i="12"/>
  <c r="O360" i="12"/>
  <c r="P360" i="12"/>
  <c r="T360" i="12"/>
  <c r="U360" i="12"/>
  <c r="L361" i="12"/>
  <c r="M361" i="12"/>
  <c r="N361" i="12"/>
  <c r="N359" i="12" s="1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P376" i="12" s="1"/>
  <c r="N376" i="12"/>
  <c r="O376" i="12"/>
  <c r="Q376" i="12"/>
  <c r="R376" i="12"/>
  <c r="S376" i="12"/>
  <c r="U376" i="12"/>
  <c r="O379" i="12"/>
  <c r="P379" i="12"/>
  <c r="T379" i="12"/>
  <c r="U379" i="12"/>
  <c r="L380" i="12"/>
  <c r="M380" i="12"/>
  <c r="N380" i="12"/>
  <c r="N378" i="12" s="1"/>
  <c r="Q380" i="12"/>
  <c r="Q377" i="12" s="1"/>
  <c r="R380" i="12"/>
  <c r="R377" i="12" s="1"/>
  <c r="S380" i="12"/>
  <c r="S378" i="12" s="1"/>
  <c r="Q381" i="12"/>
  <c r="T381" i="12" s="1"/>
  <c r="R381" i="12"/>
  <c r="S381" i="12"/>
  <c r="U381" i="12"/>
  <c r="O382" i="12"/>
  <c r="P382" i="12"/>
  <c r="T382" i="12"/>
  <c r="U382" i="12"/>
  <c r="L383" i="12"/>
  <c r="M383" i="12"/>
  <c r="P383" i="12" s="1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Q393" i="12"/>
  <c r="R393" i="12"/>
  <c r="S393" i="12"/>
  <c r="L394" i="12"/>
  <c r="O394" i="12" s="1"/>
  <c r="M394" i="12"/>
  <c r="P394" i="12" s="1"/>
  <c r="N394" i="12"/>
  <c r="N392" i="12" s="1"/>
  <c r="L395" i="12"/>
  <c r="M395" i="12"/>
  <c r="P395" i="12" s="1"/>
  <c r="N395" i="12"/>
  <c r="O395" i="12"/>
  <c r="O396" i="12"/>
  <c r="P396" i="12"/>
  <c r="T396" i="12"/>
  <c r="U396" i="12"/>
  <c r="O397" i="12"/>
  <c r="P397" i="12"/>
  <c r="Q397" i="12"/>
  <c r="R397" i="12"/>
  <c r="S397" i="12"/>
  <c r="L398" i="12"/>
  <c r="O398" i="12" s="1"/>
  <c r="M398" i="12"/>
  <c r="P398" i="12" s="1"/>
  <c r="N398" i="12"/>
  <c r="Q398" i="12"/>
  <c r="R398" i="12"/>
  <c r="U398" i="12" s="1"/>
  <c r="S398" i="12"/>
  <c r="T398" i="12"/>
  <c r="O399" i="12"/>
  <c r="P399" i="12"/>
  <c r="T399" i="12"/>
  <c r="U399" i="12"/>
  <c r="O400" i="12"/>
  <c r="P400" i="12"/>
  <c r="T400" i="12"/>
  <c r="U400" i="12"/>
  <c r="L414" i="12"/>
  <c r="M414" i="12"/>
  <c r="N414" i="12"/>
  <c r="Q414" i="12"/>
  <c r="T414" i="12" s="1"/>
  <c r="R414" i="12"/>
  <c r="S414" i="12"/>
  <c r="O417" i="12"/>
  <c r="P417" i="12"/>
  <c r="T417" i="12"/>
  <c r="U417" i="12"/>
  <c r="L418" i="12"/>
  <c r="L416" i="12" s="1"/>
  <c r="O416" i="12" s="1"/>
  <c r="M418" i="12"/>
  <c r="N418" i="12"/>
  <c r="Q418" i="12"/>
  <c r="R418" i="12"/>
  <c r="S418" i="12"/>
  <c r="S416" i="12" s="1"/>
  <c r="Q419" i="12"/>
  <c r="T419" i="12" s="1"/>
  <c r="R419" i="12"/>
  <c r="S419" i="12"/>
  <c r="U419" i="12"/>
  <c r="O420" i="12"/>
  <c r="P420" i="12"/>
  <c r="T420" i="12"/>
  <c r="U420" i="12"/>
  <c r="L421" i="12"/>
  <c r="L419" i="12" s="1"/>
  <c r="O419" i="12" s="1"/>
  <c r="M421" i="12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J440" i="12"/>
  <c r="J423" i="12" s="1"/>
  <c r="J412" i="12" s="1"/>
  <c r="I441" i="12"/>
  <c r="K441" i="12" s="1"/>
  <c r="J446" i="12"/>
  <c r="J447" i="12"/>
  <c r="J441" i="12" s="1"/>
  <c r="I457" i="12"/>
  <c r="I458" i="12"/>
  <c r="K458" i="12" s="1"/>
  <c r="J459" i="12"/>
  <c r="J457" i="12" s="1"/>
  <c r="J456" i="12" s="1"/>
  <c r="J460" i="12"/>
  <c r="J467" i="12"/>
  <c r="J468" i="12"/>
  <c r="J458" i="12" s="1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M494" i="12"/>
  <c r="N494" i="12"/>
  <c r="O494" i="12"/>
  <c r="Q494" i="12"/>
  <c r="R494" i="12"/>
  <c r="U494" i="12" s="1"/>
  <c r="S494" i="12"/>
  <c r="T494" i="12"/>
  <c r="O497" i="12"/>
  <c r="P497" i="12"/>
  <c r="T497" i="12"/>
  <c r="U497" i="12"/>
  <c r="L498" i="12"/>
  <c r="M498" i="12"/>
  <c r="N498" i="12"/>
  <c r="N496" i="12" s="1"/>
  <c r="Q498" i="12"/>
  <c r="Q495" i="12" s="1"/>
  <c r="R498" i="12"/>
  <c r="S498" i="12"/>
  <c r="Q499" i="12"/>
  <c r="T499" i="12" s="1"/>
  <c r="R499" i="12"/>
  <c r="S499" i="12"/>
  <c r="U499" i="12"/>
  <c r="O500" i="12"/>
  <c r="P500" i="12"/>
  <c r="T500" i="12"/>
  <c r="U500" i="12"/>
  <c r="L501" i="12"/>
  <c r="M501" i="12"/>
  <c r="P501" i="12" s="1"/>
  <c r="N501" i="12"/>
  <c r="N499" i="12" s="1"/>
  <c r="T501" i="12"/>
  <c r="U501" i="12"/>
  <c r="I503" i="12"/>
  <c r="I504" i="12"/>
  <c r="K504" i="12" s="1"/>
  <c r="I505" i="12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O514" i="12" s="1"/>
  <c r="M514" i="12"/>
  <c r="N514" i="12"/>
  <c r="Q514" i="12"/>
  <c r="T514" i="12" s="1"/>
  <c r="R514" i="12"/>
  <c r="R513" i="12" s="1"/>
  <c r="U513" i="12" s="1"/>
  <c r="S514" i="12"/>
  <c r="U514" i="12"/>
  <c r="Q515" i="12"/>
  <c r="T515" i="12" s="1"/>
  <c r="R515" i="12"/>
  <c r="U515" i="12" s="1"/>
  <c r="S515" i="12"/>
  <c r="Q516" i="12"/>
  <c r="T516" i="12" s="1"/>
  <c r="R516" i="12"/>
  <c r="U516" i="12" s="1"/>
  <c r="S516" i="12"/>
  <c r="O517" i="12"/>
  <c r="P517" i="12"/>
  <c r="T517" i="12"/>
  <c r="U517" i="12"/>
  <c r="L518" i="12"/>
  <c r="L516" i="12" s="1"/>
  <c r="O516" i="12" s="1"/>
  <c r="M518" i="12"/>
  <c r="P518" i="12" s="1"/>
  <c r="N518" i="12"/>
  <c r="T518" i="12"/>
  <c r="U518" i="12"/>
  <c r="Q519" i="12"/>
  <c r="R519" i="12"/>
  <c r="U519" i="12" s="1"/>
  <c r="S519" i="12"/>
  <c r="T519" i="12"/>
  <c r="O520" i="12"/>
  <c r="P520" i="12"/>
  <c r="T520" i="12"/>
  <c r="U520" i="12"/>
  <c r="L521" i="12"/>
  <c r="M521" i="12"/>
  <c r="N521" i="12"/>
  <c r="N519" i="12" s="1"/>
  <c r="T521" i="12"/>
  <c r="U521" i="12"/>
  <c r="K523" i="12"/>
  <c r="K524" i="12"/>
  <c r="I533" i="12"/>
  <c r="K533" i="12" s="1"/>
  <c r="J533" i="12"/>
  <c r="L535" i="12"/>
  <c r="M535" i="12"/>
  <c r="N535" i="12"/>
  <c r="P535" i="12"/>
  <c r="Q535" i="12"/>
  <c r="R535" i="12"/>
  <c r="S535" i="12"/>
  <c r="S534" i="12" s="1"/>
  <c r="T535" i="12"/>
  <c r="Q536" i="12"/>
  <c r="T536" i="12" s="1"/>
  <c r="R536" i="12"/>
  <c r="U536" i="12" s="1"/>
  <c r="S536" i="12"/>
  <c r="Q537" i="12"/>
  <c r="T537" i="12" s="1"/>
  <c r="R537" i="12"/>
  <c r="U537" i="12" s="1"/>
  <c r="S537" i="12"/>
  <c r="O538" i="12"/>
  <c r="P538" i="12"/>
  <c r="T538" i="12"/>
  <c r="U538" i="12"/>
  <c r="L539" i="12"/>
  <c r="M539" i="12"/>
  <c r="N539" i="12"/>
  <c r="N537" i="12" s="1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O542" i="12" s="1"/>
  <c r="M542" i="12"/>
  <c r="N542" i="12"/>
  <c r="N540" i="12" s="1"/>
  <c r="T542" i="12"/>
  <c r="U542" i="12"/>
  <c r="I554" i="12"/>
  <c r="K554" i="12" s="1"/>
  <c r="J554" i="12"/>
  <c r="L556" i="12"/>
  <c r="M556" i="12"/>
  <c r="N556" i="12"/>
  <c r="Q556" i="12"/>
  <c r="R556" i="12"/>
  <c r="S556" i="12"/>
  <c r="Q557" i="12"/>
  <c r="R557" i="12"/>
  <c r="U557" i="12" s="1"/>
  <c r="S557" i="12"/>
  <c r="T557" i="12"/>
  <c r="Q558" i="12"/>
  <c r="T558" i="12" s="1"/>
  <c r="R558" i="12"/>
  <c r="U558" i="12" s="1"/>
  <c r="S558" i="12"/>
  <c r="O559" i="12"/>
  <c r="P559" i="12"/>
  <c r="T559" i="12"/>
  <c r="U559" i="12"/>
  <c r="L560" i="12"/>
  <c r="L558" i="12" s="1"/>
  <c r="O558" i="12" s="1"/>
  <c r="M560" i="12"/>
  <c r="N560" i="12"/>
  <c r="N558" i="12" s="1"/>
  <c r="T560" i="12"/>
  <c r="U560" i="12"/>
  <c r="Q561" i="12"/>
  <c r="R561" i="12"/>
  <c r="U561" i="12" s="1"/>
  <c r="S561" i="12"/>
  <c r="T561" i="12"/>
  <c r="O562" i="12"/>
  <c r="P562" i="12"/>
  <c r="T562" i="12"/>
  <c r="U562" i="12"/>
  <c r="L563" i="12"/>
  <c r="O563" i="12" s="1"/>
  <c r="M563" i="12"/>
  <c r="N563" i="12"/>
  <c r="N561" i="12" s="1"/>
  <c r="T563" i="12"/>
  <c r="U563" i="12"/>
  <c r="I575" i="12"/>
  <c r="K575" i="12" s="1"/>
  <c r="J575" i="12"/>
  <c r="R576" i="12"/>
  <c r="U576" i="12" s="1"/>
  <c r="L577" i="12"/>
  <c r="M577" i="12"/>
  <c r="N577" i="12"/>
  <c r="P577" i="12"/>
  <c r="Q577" i="12"/>
  <c r="R577" i="12"/>
  <c r="U577" i="12" s="1"/>
  <c r="S577" i="12"/>
  <c r="S576" i="12" s="1"/>
  <c r="T577" i="12"/>
  <c r="Q578" i="12"/>
  <c r="T578" i="12" s="1"/>
  <c r="R578" i="12"/>
  <c r="U578" i="12" s="1"/>
  <c r="S578" i="12"/>
  <c r="Q579" i="12"/>
  <c r="T579" i="12" s="1"/>
  <c r="R579" i="12"/>
  <c r="U579" i="12" s="1"/>
  <c r="S579" i="12"/>
  <c r="O580" i="12"/>
  <c r="P580" i="12"/>
  <c r="T580" i="12"/>
  <c r="U580" i="12"/>
  <c r="L581" i="12"/>
  <c r="L579" i="12" s="1"/>
  <c r="O579" i="12" s="1"/>
  <c r="M581" i="12"/>
  <c r="N581" i="12"/>
  <c r="N579" i="12" s="1"/>
  <c r="T581" i="12"/>
  <c r="U581" i="12"/>
  <c r="Q582" i="12"/>
  <c r="T582" i="12" s="1"/>
  <c r="R582" i="12"/>
  <c r="S582" i="12"/>
  <c r="U582" i="12"/>
  <c r="O583" i="12"/>
  <c r="P583" i="12"/>
  <c r="T583" i="12"/>
  <c r="U583" i="12"/>
  <c r="L584" i="12"/>
  <c r="M584" i="12"/>
  <c r="N584" i="12"/>
  <c r="N582" i="12" s="1"/>
  <c r="T584" i="12"/>
  <c r="U584" i="12"/>
  <c r="L600" i="12"/>
  <c r="M600" i="12"/>
  <c r="P600" i="12" s="1"/>
  <c r="N600" i="12"/>
  <c r="O600" i="12"/>
  <c r="Q600" i="12"/>
  <c r="T600" i="12" s="1"/>
  <c r="R600" i="12"/>
  <c r="S600" i="12"/>
  <c r="U600" i="12"/>
  <c r="O603" i="12"/>
  <c r="P603" i="12"/>
  <c r="T603" i="12"/>
  <c r="U603" i="12"/>
  <c r="L604" i="12"/>
  <c r="L602" i="12" s="1"/>
  <c r="M604" i="12"/>
  <c r="M602" i="12" s="1"/>
  <c r="N604" i="12"/>
  <c r="Q604" i="12"/>
  <c r="R604" i="12"/>
  <c r="S604" i="12"/>
  <c r="S602" i="12" s="1"/>
  <c r="O606" i="12"/>
  <c r="P606" i="12"/>
  <c r="T606" i="12"/>
  <c r="U606" i="12"/>
  <c r="L607" i="12"/>
  <c r="M607" i="12"/>
  <c r="M605" i="12" s="1"/>
  <c r="P605" i="12" s="1"/>
  <c r="N607" i="12"/>
  <c r="N605" i="12" s="1"/>
  <c r="Q607" i="12"/>
  <c r="R607" i="12"/>
  <c r="U607" i="12" s="1"/>
  <c r="S607" i="12"/>
  <c r="S605" i="12" s="1"/>
  <c r="L617" i="12"/>
  <c r="M617" i="12"/>
  <c r="N617" i="12"/>
  <c r="Q617" i="12"/>
  <c r="R617" i="12"/>
  <c r="S617" i="12"/>
  <c r="L618" i="12"/>
  <c r="O618" i="12" s="1"/>
  <c r="M618" i="12"/>
  <c r="P618" i="12" s="1"/>
  <c r="N618" i="12"/>
  <c r="L619" i="12"/>
  <c r="M619" i="12"/>
  <c r="P619" i="12" s="1"/>
  <c r="N619" i="12"/>
  <c r="O619" i="12"/>
  <c r="O620" i="12"/>
  <c r="P620" i="12"/>
  <c r="T620" i="12"/>
  <c r="U620" i="12"/>
  <c r="O621" i="12"/>
  <c r="P621" i="12"/>
  <c r="Q621" i="12"/>
  <c r="R621" i="12"/>
  <c r="R619" i="12" s="1"/>
  <c r="S621" i="12"/>
  <c r="S619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M643" i="12"/>
  <c r="N643" i="12"/>
  <c r="N642" i="12" s="1"/>
  <c r="Q643" i="12"/>
  <c r="R643" i="12"/>
  <c r="S643" i="12"/>
  <c r="L644" i="12"/>
  <c r="O644" i="12" s="1"/>
  <c r="M644" i="12"/>
  <c r="P644" i="12" s="1"/>
  <c r="N644" i="12"/>
  <c r="L645" i="12"/>
  <c r="M645" i="12"/>
  <c r="P645" i="12" s="1"/>
  <c r="N645" i="12"/>
  <c r="O645" i="12"/>
  <c r="O646" i="12"/>
  <c r="P646" i="12"/>
  <c r="T646" i="12"/>
  <c r="U646" i="12"/>
  <c r="O647" i="12"/>
  <c r="P647" i="12"/>
  <c r="Q647" i="12"/>
  <c r="Q645" i="12" s="1"/>
  <c r="T645" i="12" s="1"/>
  <c r="R647" i="12"/>
  <c r="S647" i="12"/>
  <c r="S645" i="12" s="1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L690" i="12" s="1"/>
  <c r="O690" i="12" s="1"/>
  <c r="M691" i="12"/>
  <c r="M690" i="12" s="1"/>
  <c r="P690" i="12" s="1"/>
  <c r="N691" i="12"/>
  <c r="P691" i="12"/>
  <c r="Q691" i="12"/>
  <c r="R691" i="12"/>
  <c r="S691" i="12"/>
  <c r="L692" i="12"/>
  <c r="O692" i="12" s="1"/>
  <c r="M692" i="12"/>
  <c r="P692" i="12" s="1"/>
  <c r="N692" i="12"/>
  <c r="N690" i="12" s="1"/>
  <c r="L693" i="12"/>
  <c r="M693" i="12"/>
  <c r="N693" i="12"/>
  <c r="O693" i="12"/>
  <c r="P693" i="12"/>
  <c r="O694" i="12"/>
  <c r="P694" i="12"/>
  <c r="T694" i="12"/>
  <c r="U694" i="12"/>
  <c r="O695" i="12"/>
  <c r="P695" i="12"/>
  <c r="Q695" i="12"/>
  <c r="Q693" i="12" s="1"/>
  <c r="R695" i="12"/>
  <c r="R693" i="12" s="1"/>
  <c r="S695" i="12"/>
  <c r="S693" i="12" s="1"/>
  <c r="L696" i="12"/>
  <c r="O696" i="12" s="1"/>
  <c r="M696" i="12"/>
  <c r="P696" i="12" s="1"/>
  <c r="N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K707" i="12" s="1"/>
  <c r="J707" i="12"/>
  <c r="J689" i="12" s="1"/>
  <c r="J708" i="12"/>
  <c r="K708" i="12"/>
  <c r="I709" i="12"/>
  <c r="J709" i="12"/>
  <c r="J710" i="12"/>
  <c r="K710" i="12"/>
  <c r="J712" i="12"/>
  <c r="K712" i="12"/>
  <c r="R714" i="12"/>
  <c r="U714" i="12" s="1"/>
  <c r="L715" i="12"/>
  <c r="M715" i="12"/>
  <c r="P715" i="12" s="1"/>
  <c r="N715" i="12"/>
  <c r="N714" i="12" s="1"/>
  <c r="O715" i="12"/>
  <c r="Q715" i="12"/>
  <c r="T715" i="12" s="1"/>
  <c r="R715" i="12"/>
  <c r="S715" i="12"/>
  <c r="U715" i="12"/>
  <c r="L716" i="12"/>
  <c r="O716" i="12" s="1"/>
  <c r="M716" i="12"/>
  <c r="P716" i="12" s="1"/>
  <c r="N716" i="12"/>
  <c r="Q716" i="12"/>
  <c r="T716" i="12" s="1"/>
  <c r="R716" i="12"/>
  <c r="S716" i="12"/>
  <c r="S714" i="12" s="1"/>
  <c r="U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M728" i="12"/>
  <c r="P728" i="12" s="1"/>
  <c r="L729" i="12"/>
  <c r="M729" i="12"/>
  <c r="P729" i="12" s="1"/>
  <c r="N729" i="12"/>
  <c r="N728" i="12" s="1"/>
  <c r="O729" i="12"/>
  <c r="Q729" i="12"/>
  <c r="R729" i="12"/>
  <c r="S729" i="12"/>
  <c r="T729" i="12"/>
  <c r="U729" i="12"/>
  <c r="L730" i="12"/>
  <c r="O730" i="12" s="1"/>
  <c r="M730" i="12"/>
  <c r="N730" i="12"/>
  <c r="P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R733" i="12"/>
  <c r="R731" i="12" s="1"/>
  <c r="S733" i="12"/>
  <c r="S730" i="12" s="1"/>
  <c r="L734" i="12"/>
  <c r="M734" i="12"/>
  <c r="P734" i="12" s="1"/>
  <c r="N734" i="12"/>
  <c r="O734" i="12"/>
  <c r="Q734" i="12"/>
  <c r="R734" i="12"/>
  <c r="S734" i="12"/>
  <c r="T734" i="12"/>
  <c r="U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O761" i="12" s="1"/>
  <c r="M761" i="12"/>
  <c r="P761" i="12" s="1"/>
  <c r="N761" i="12"/>
  <c r="N760" i="12" s="1"/>
  <c r="Q761" i="12"/>
  <c r="R761" i="12"/>
  <c r="U761" i="12" s="1"/>
  <c r="S761" i="12"/>
  <c r="T761" i="12"/>
  <c r="L762" i="12"/>
  <c r="O762" i="12" s="1"/>
  <c r="M762" i="12"/>
  <c r="M760" i="12" s="1"/>
  <c r="P760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R763" i="12" s="1"/>
  <c r="S765" i="12"/>
  <c r="S762" i="12" s="1"/>
  <c r="S760" i="12" s="1"/>
  <c r="L766" i="12"/>
  <c r="M766" i="12"/>
  <c r="P766" i="12" s="1"/>
  <c r="N766" i="12"/>
  <c r="O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I774" i="12"/>
  <c r="I759" i="12" s="1"/>
  <c r="K759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O22" i="11" s="1"/>
  <c r="M22" i="11"/>
  <c r="N22" i="11"/>
  <c r="Q22" i="11"/>
  <c r="T22" i="11" s="1"/>
  <c r="R22" i="11"/>
  <c r="U22" i="11" s="1"/>
  <c r="S22" i="11"/>
  <c r="L25" i="11"/>
  <c r="O25" i="11" s="1"/>
  <c r="M25" i="11"/>
  <c r="N25" i="11"/>
  <c r="Q25" i="11"/>
  <c r="T25" i="11" s="1"/>
  <c r="R25" i="11"/>
  <c r="U25" i="11" s="1"/>
  <c r="S25" i="11"/>
  <c r="L45" i="11"/>
  <c r="O45" i="11" s="1"/>
  <c r="M45" i="11"/>
  <c r="P45" i="11" s="1"/>
  <c r="N45" i="11"/>
  <c r="Q45" i="11"/>
  <c r="Q44" i="11" s="1"/>
  <c r="T44" i="11" s="1"/>
  <c r="R45" i="11"/>
  <c r="U45" i="11" s="1"/>
  <c r="S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M49" i="11"/>
  <c r="M47" i="11" s="1"/>
  <c r="N49" i="11"/>
  <c r="T49" i="11"/>
  <c r="U49" i="11"/>
  <c r="Q50" i="11"/>
  <c r="R50" i="11"/>
  <c r="U50" i="11" s="1"/>
  <c r="S50" i="11"/>
  <c r="T50" i="11"/>
  <c r="O51" i="11"/>
  <c r="P51" i="11"/>
  <c r="T51" i="11"/>
  <c r="U51" i="11"/>
  <c r="L52" i="11"/>
  <c r="O52" i="11" s="1"/>
  <c r="M52" i="11"/>
  <c r="N52" i="11"/>
  <c r="T52" i="11"/>
  <c r="U52" i="11"/>
  <c r="L60" i="11"/>
  <c r="O60" i="11" s="1"/>
  <c r="M60" i="11"/>
  <c r="P60" i="11" s="1"/>
  <c r="N60" i="11"/>
  <c r="Q60" i="11"/>
  <c r="R60" i="11"/>
  <c r="U60" i="11" s="1"/>
  <c r="S60" i="11"/>
  <c r="Q61" i="11"/>
  <c r="R61" i="11"/>
  <c r="U61" i="11" s="1"/>
  <c r="S61" i="11"/>
  <c r="T61" i="11"/>
  <c r="Q62" i="11"/>
  <c r="T62" i="11" s="1"/>
  <c r="R62" i="11"/>
  <c r="S62" i="11"/>
  <c r="U62" i="11"/>
  <c r="O63" i="11"/>
  <c r="P63" i="11"/>
  <c r="T63" i="11"/>
  <c r="U63" i="11"/>
  <c r="L64" i="11"/>
  <c r="L62" i="11" s="1"/>
  <c r="M64" i="11"/>
  <c r="N64" i="1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O67" i="11" s="1"/>
  <c r="M67" i="11"/>
  <c r="N67" i="11"/>
  <c r="N65" i="11" s="1"/>
  <c r="T67" i="11"/>
  <c r="U67" i="11"/>
  <c r="J71" i="11"/>
  <c r="L73" i="11"/>
  <c r="M73" i="11"/>
  <c r="P73" i="11" s="1"/>
  <c r="N73" i="11"/>
  <c r="Q73" i="11"/>
  <c r="T73" i="11" s="1"/>
  <c r="R73" i="11"/>
  <c r="U73" i="11" s="1"/>
  <c r="S73" i="11"/>
  <c r="O76" i="11"/>
  <c r="P76" i="11"/>
  <c r="T76" i="11"/>
  <c r="U76" i="11"/>
  <c r="L77" i="11"/>
  <c r="L75" i="11" s="1"/>
  <c r="O75" i="11" s="1"/>
  <c r="M77" i="11"/>
  <c r="N77" i="11"/>
  <c r="Q77" i="11"/>
  <c r="T77" i="11" s="1"/>
  <c r="R77" i="11"/>
  <c r="R75" i="11" s="1"/>
  <c r="U75" i="11" s="1"/>
  <c r="S77" i="11"/>
  <c r="S75" i="11" s="1"/>
  <c r="O79" i="11"/>
  <c r="P79" i="11"/>
  <c r="T79" i="11"/>
  <c r="U79" i="11"/>
  <c r="L80" i="11"/>
  <c r="M80" i="11"/>
  <c r="M78" i="11" s="1"/>
  <c r="P78" i="11" s="1"/>
  <c r="N80" i="11"/>
  <c r="N78" i="11" s="1"/>
  <c r="Q80" i="11"/>
  <c r="R80" i="11"/>
  <c r="R78" i="11" s="1"/>
  <c r="U78" i="11" s="1"/>
  <c r="S80" i="11"/>
  <c r="S78" i="11" s="1"/>
  <c r="J82" i="11"/>
  <c r="J70" i="11" s="1"/>
  <c r="J83" i="11"/>
  <c r="I84" i="11"/>
  <c r="K84" i="11" s="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T95" i="11" s="1"/>
  <c r="R95" i="11"/>
  <c r="S95" i="11"/>
  <c r="O98" i="11"/>
  <c r="P98" i="11"/>
  <c r="T98" i="11"/>
  <c r="U98" i="11"/>
  <c r="L99" i="11"/>
  <c r="O99" i="11" s="1"/>
  <c r="M99" i="11"/>
  <c r="P99" i="11" s="1"/>
  <c r="N99" i="11"/>
  <c r="N97" i="11" s="1"/>
  <c r="Q99" i="11"/>
  <c r="R99" i="11"/>
  <c r="U99" i="11" s="1"/>
  <c r="S99" i="11"/>
  <c r="Q100" i="11"/>
  <c r="R100" i="11"/>
  <c r="U100" i="11" s="1"/>
  <c r="S100" i="11"/>
  <c r="T100" i="11"/>
  <c r="O101" i="11"/>
  <c r="P101" i="11"/>
  <c r="T101" i="11"/>
  <c r="U101" i="11"/>
  <c r="L102" i="11"/>
  <c r="M102" i="11"/>
  <c r="P102" i="11" s="1"/>
  <c r="N102" i="11"/>
  <c r="N100" i="11" s="1"/>
  <c r="T102" i="11"/>
  <c r="U102" i="11"/>
  <c r="I108" i="11"/>
  <c r="I92" i="11" s="1"/>
  <c r="K92" i="11" s="1"/>
  <c r="I109" i="11"/>
  <c r="I114" i="11"/>
  <c r="K114" i="11" s="1"/>
  <c r="J116" i="11"/>
  <c r="L118" i="11"/>
  <c r="O118" i="11" s="1"/>
  <c r="M118" i="11"/>
  <c r="N118" i="11"/>
  <c r="P118" i="11"/>
  <c r="Q118" i="11"/>
  <c r="T118" i="11" s="1"/>
  <c r="R118" i="11"/>
  <c r="U118" i="11" s="1"/>
  <c r="S118" i="11"/>
  <c r="O121" i="11"/>
  <c r="P121" i="11"/>
  <c r="T121" i="11"/>
  <c r="U121" i="11"/>
  <c r="L122" i="11"/>
  <c r="L120" i="11" s="1"/>
  <c r="O120" i="11" s="1"/>
  <c r="M122" i="11"/>
  <c r="N122" i="11"/>
  <c r="N120" i="11" s="1"/>
  <c r="Q122" i="11"/>
  <c r="Q120" i="11" s="1"/>
  <c r="R122" i="11"/>
  <c r="R120" i="11" s="1"/>
  <c r="S122" i="11"/>
  <c r="S120" i="11" s="1"/>
  <c r="O124" i="11"/>
  <c r="P124" i="11"/>
  <c r="T124" i="11"/>
  <c r="U124" i="11"/>
  <c r="L125" i="11"/>
  <c r="L123" i="11" s="1"/>
  <c r="O123" i="11" s="1"/>
  <c r="M125" i="11"/>
  <c r="P125" i="11" s="1"/>
  <c r="N125" i="11"/>
  <c r="N123" i="11" s="1"/>
  <c r="Q125" i="11"/>
  <c r="R125" i="11"/>
  <c r="U125" i="11" s="1"/>
  <c r="S125" i="11"/>
  <c r="S123" i="11" s="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P140" i="11" s="1"/>
  <c r="N140" i="11"/>
  <c r="Q140" i="11"/>
  <c r="T140" i="11" s="1"/>
  <c r="R140" i="11"/>
  <c r="U140" i="11" s="1"/>
  <c r="S140" i="11"/>
  <c r="O143" i="11"/>
  <c r="P143" i="11"/>
  <c r="T143" i="11"/>
  <c r="U143" i="11"/>
  <c r="L144" i="11"/>
  <c r="L142" i="11" s="1"/>
  <c r="O142" i="11" s="1"/>
  <c r="M144" i="11"/>
  <c r="M142" i="11" s="1"/>
  <c r="P142" i="11" s="1"/>
  <c r="N144" i="11"/>
  <c r="Q144" i="11"/>
  <c r="T144" i="11" s="1"/>
  <c r="R144" i="11"/>
  <c r="R142" i="11" s="1"/>
  <c r="U142" i="11" s="1"/>
  <c r="S144" i="11"/>
  <c r="O146" i="11"/>
  <c r="P146" i="11"/>
  <c r="T146" i="11"/>
  <c r="U146" i="11"/>
  <c r="L147" i="11"/>
  <c r="O147" i="11" s="1"/>
  <c r="M147" i="11"/>
  <c r="M145" i="11" s="1"/>
  <c r="P145" i="11" s="1"/>
  <c r="N147" i="11"/>
  <c r="N145" i="11" s="1"/>
  <c r="Q147" i="11"/>
  <c r="Q145" i="11" s="1"/>
  <c r="T145" i="11" s="1"/>
  <c r="R147" i="11"/>
  <c r="R145" i="11" s="1"/>
  <c r="U145" i="11" s="1"/>
  <c r="S147" i="11"/>
  <c r="S145" i="11" s="1"/>
  <c r="I150" i="11"/>
  <c r="K150" i="11" s="1"/>
  <c r="I151" i="11"/>
  <c r="K151" i="11" s="1"/>
  <c r="I152" i="11"/>
  <c r="I137" i="11" s="1"/>
  <c r="K137" i="11" s="1"/>
  <c r="I153" i="11"/>
  <c r="I154" i="11"/>
  <c r="J156" i="11"/>
  <c r="L158" i="11"/>
  <c r="O158" i="11" s="1"/>
  <c r="M158" i="11"/>
  <c r="N158" i="11"/>
  <c r="P158" i="11"/>
  <c r="Q158" i="11"/>
  <c r="T158" i="11" s="1"/>
  <c r="R158" i="11"/>
  <c r="S158" i="11"/>
  <c r="U158" i="11"/>
  <c r="O161" i="11"/>
  <c r="P161" i="11"/>
  <c r="T161" i="11"/>
  <c r="U161" i="11"/>
  <c r="L162" i="11"/>
  <c r="L160" i="11" s="1"/>
  <c r="O160" i="11" s="1"/>
  <c r="M162" i="11"/>
  <c r="N162" i="11"/>
  <c r="N160" i="11" s="1"/>
  <c r="Q162" i="11"/>
  <c r="T162" i="11" s="1"/>
  <c r="R162" i="11"/>
  <c r="S162" i="11"/>
  <c r="S160" i="11" s="1"/>
  <c r="Q163" i="11"/>
  <c r="R163" i="11"/>
  <c r="U163" i="11" s="1"/>
  <c r="S163" i="11"/>
  <c r="T163" i="11"/>
  <c r="O164" i="11"/>
  <c r="P164" i="11"/>
  <c r="T164" i="11"/>
  <c r="U164" i="11"/>
  <c r="L165" i="11"/>
  <c r="O165" i="11" s="1"/>
  <c r="M165" i="11"/>
  <c r="N165" i="11"/>
  <c r="T165" i="11"/>
  <c r="U165" i="11"/>
  <c r="I167" i="11"/>
  <c r="K167" i="11" s="1"/>
  <c r="I168" i="11"/>
  <c r="K168" i="11" s="1"/>
  <c r="I169" i="11"/>
  <c r="K169" i="11" s="1"/>
  <c r="J172" i="11"/>
  <c r="L174" i="11"/>
  <c r="M174" i="11"/>
  <c r="N174" i="11"/>
  <c r="Q174" i="11"/>
  <c r="R174" i="11"/>
  <c r="S174" i="11"/>
  <c r="T174" i="11"/>
  <c r="O177" i="11"/>
  <c r="P177" i="11"/>
  <c r="T177" i="11"/>
  <c r="U177" i="11"/>
  <c r="L178" i="11"/>
  <c r="M178" i="11"/>
  <c r="N178" i="11"/>
  <c r="Q178" i="11"/>
  <c r="Q176" i="11" s="1"/>
  <c r="T176" i="11" s="1"/>
  <c r="R178" i="11"/>
  <c r="R175" i="11" s="1"/>
  <c r="U175" i="11" s="1"/>
  <c r="S178" i="11"/>
  <c r="S176" i="11" s="1"/>
  <c r="Q179" i="11"/>
  <c r="T179" i="11" s="1"/>
  <c r="R179" i="11"/>
  <c r="U179" i="11" s="1"/>
  <c r="S179" i="11"/>
  <c r="O180" i="11"/>
  <c r="P180" i="11"/>
  <c r="T180" i="11"/>
  <c r="U180" i="11"/>
  <c r="L181" i="11"/>
  <c r="O181" i="11" s="1"/>
  <c r="M181" i="11"/>
  <c r="M179" i="11" s="1"/>
  <c r="P179" i="11" s="1"/>
  <c r="N181" i="11"/>
  <c r="N179" i="11" s="1"/>
  <c r="T181" i="11"/>
  <c r="U181" i="11"/>
  <c r="I183" i="11"/>
  <c r="I172" i="11" s="1"/>
  <c r="K172" i="11" s="1"/>
  <c r="K184" i="11"/>
  <c r="L187" i="11"/>
  <c r="O187" i="11" s="1"/>
  <c r="M187" i="11"/>
  <c r="P187" i="11" s="1"/>
  <c r="N187" i="11"/>
  <c r="Q187" i="11"/>
  <c r="R187" i="11"/>
  <c r="S187" i="11"/>
  <c r="O190" i="11"/>
  <c r="P190" i="11"/>
  <c r="T190" i="11"/>
  <c r="U190" i="11"/>
  <c r="L191" i="11"/>
  <c r="L189" i="11" s="1"/>
  <c r="M191" i="11"/>
  <c r="M189" i="11" s="1"/>
  <c r="N191" i="11"/>
  <c r="Q191" i="11"/>
  <c r="Q189" i="11" s="1"/>
  <c r="R191" i="11"/>
  <c r="R189" i="11" s="1"/>
  <c r="S191" i="11"/>
  <c r="O193" i="11"/>
  <c r="P193" i="11"/>
  <c r="T193" i="11"/>
  <c r="U193" i="11"/>
  <c r="L194" i="11"/>
  <c r="O194" i="11" s="1"/>
  <c r="M194" i="11"/>
  <c r="N194" i="11"/>
  <c r="N192" i="11" s="1"/>
  <c r="Q194" i="11"/>
  <c r="Q192" i="11" s="1"/>
  <c r="T192" i="11" s="1"/>
  <c r="R194" i="11"/>
  <c r="S194" i="11"/>
  <c r="S192" i="11" s="1"/>
  <c r="J195" i="11"/>
  <c r="L196" i="11"/>
  <c r="O196" i="11" s="1"/>
  <c r="P196" i="11"/>
  <c r="I198" i="1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K209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K220" i="11" s="1"/>
  <c r="J221" i="11"/>
  <c r="N222" i="11"/>
  <c r="P222" i="11"/>
  <c r="L223" i="11"/>
  <c r="L224" i="11"/>
  <c r="L225" i="11"/>
  <c r="I228" i="11"/>
  <c r="K228" i="11" s="1"/>
  <c r="I229" i="11"/>
  <c r="K229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J241" i="11"/>
  <c r="K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J231" i="11" s="1"/>
  <c r="J185" i="11" s="1"/>
  <c r="N254" i="11"/>
  <c r="P254" i="11"/>
  <c r="L255" i="11"/>
  <c r="L256" i="11"/>
  <c r="L257" i="11"/>
  <c r="L258" i="11"/>
  <c r="I260" i="11"/>
  <c r="I253" i="11" s="1"/>
  <c r="K253" i="11" s="1"/>
  <c r="K262" i="11"/>
  <c r="K263" i="11"/>
  <c r="J265" i="11"/>
  <c r="L267" i="11"/>
  <c r="O267" i="11" s="1"/>
  <c r="M267" i="11"/>
  <c r="N267" i="11"/>
  <c r="P267" i="11"/>
  <c r="Q267" i="11"/>
  <c r="R267" i="11"/>
  <c r="S267" i="11"/>
  <c r="U267" i="11"/>
  <c r="O270" i="11"/>
  <c r="P270" i="11"/>
  <c r="T270" i="11"/>
  <c r="U270" i="11"/>
  <c r="L271" i="11"/>
  <c r="M271" i="11"/>
  <c r="M269" i="11" s="1"/>
  <c r="N271" i="11"/>
  <c r="N269" i="11" s="1"/>
  <c r="Q271" i="11"/>
  <c r="R271" i="11"/>
  <c r="R269" i="11" s="1"/>
  <c r="S271" i="11"/>
  <c r="S269" i="11" s="1"/>
  <c r="Q272" i="11"/>
  <c r="R272" i="11"/>
  <c r="U272" i="11" s="1"/>
  <c r="S272" i="11"/>
  <c r="T272" i="11"/>
  <c r="O273" i="11"/>
  <c r="P273" i="11"/>
  <c r="T273" i="11"/>
  <c r="U273" i="11"/>
  <c r="L274" i="11"/>
  <c r="O274" i="11" s="1"/>
  <c r="M274" i="11"/>
  <c r="N274" i="11"/>
  <c r="N272" i="11" s="1"/>
  <c r="T274" i="11"/>
  <c r="U274" i="11"/>
  <c r="I276" i="11"/>
  <c r="J281" i="11"/>
  <c r="L283" i="11"/>
  <c r="M283" i="11"/>
  <c r="P283" i="11" s="1"/>
  <c r="N283" i="11"/>
  <c r="O283" i="11"/>
  <c r="Q283" i="11"/>
  <c r="T283" i="11" s="1"/>
  <c r="R283" i="11"/>
  <c r="S283" i="11"/>
  <c r="U283" i="11"/>
  <c r="Q284" i="11"/>
  <c r="T284" i="11" s="1"/>
  <c r="R284" i="11"/>
  <c r="S284" i="11"/>
  <c r="Q285" i="11"/>
  <c r="T285" i="11" s="1"/>
  <c r="R285" i="11"/>
  <c r="S285" i="11"/>
  <c r="U285" i="11"/>
  <c r="O286" i="11"/>
  <c r="P286" i="11"/>
  <c r="T286" i="11"/>
  <c r="U286" i="11"/>
  <c r="L287" i="11"/>
  <c r="O287" i="11" s="1"/>
  <c r="M287" i="11"/>
  <c r="N287" i="11"/>
  <c r="N285" i="11" s="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O290" i="11" s="1"/>
  <c r="M290" i="11"/>
  <c r="N290" i="11"/>
  <c r="N288" i="11" s="1"/>
  <c r="T290" i="11"/>
  <c r="U290" i="11"/>
  <c r="I292" i="11"/>
  <c r="K292" i="11" s="1"/>
  <c r="I293" i="11"/>
  <c r="I280" i="11" s="1"/>
  <c r="K280" i="11" s="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P304" i="11"/>
  <c r="Q304" i="11"/>
  <c r="R304" i="11"/>
  <c r="U304" i="11" s="1"/>
  <c r="S304" i="11"/>
  <c r="T304" i="11"/>
  <c r="O307" i="11"/>
  <c r="P307" i="11"/>
  <c r="T307" i="11"/>
  <c r="U307" i="11"/>
  <c r="L308" i="11"/>
  <c r="M308" i="11"/>
  <c r="N308" i="11"/>
  <c r="N306" i="11" s="1"/>
  <c r="Q308" i="11"/>
  <c r="R308" i="11"/>
  <c r="S308" i="11"/>
  <c r="S306" i="11" s="1"/>
  <c r="Q309" i="11"/>
  <c r="T309" i="11" s="1"/>
  <c r="R309" i="11"/>
  <c r="S309" i="11"/>
  <c r="U309" i="11"/>
  <c r="O310" i="11"/>
  <c r="P310" i="11"/>
  <c r="T310" i="11"/>
  <c r="U310" i="11"/>
  <c r="L311" i="11"/>
  <c r="M311" i="11"/>
  <c r="P311" i="11" s="1"/>
  <c r="N311" i="11"/>
  <c r="N309" i="11" s="1"/>
  <c r="T311" i="11"/>
  <c r="U311" i="11"/>
  <c r="I314" i="11"/>
  <c r="J319" i="11"/>
  <c r="S320" i="11"/>
  <c r="L321" i="11"/>
  <c r="O321" i="11" s="1"/>
  <c r="M321" i="11"/>
  <c r="N321" i="11"/>
  <c r="P321" i="11"/>
  <c r="Q321" i="11"/>
  <c r="R321" i="11"/>
  <c r="U321" i="11" s="1"/>
  <c r="S321" i="11"/>
  <c r="T321" i="11"/>
  <c r="Q322" i="11"/>
  <c r="T322" i="11" s="1"/>
  <c r="R322" i="11"/>
  <c r="U322" i="11" s="1"/>
  <c r="S322" i="11"/>
  <c r="Q323" i="11"/>
  <c r="T323" i="11" s="1"/>
  <c r="R323" i="11"/>
  <c r="U323" i="11" s="1"/>
  <c r="S323" i="11"/>
  <c r="O324" i="11"/>
  <c r="P324" i="11"/>
  <c r="T324" i="11"/>
  <c r="U324" i="11"/>
  <c r="L325" i="11"/>
  <c r="O325" i="11" s="1"/>
  <c r="M325" i="11"/>
  <c r="M323" i="11" s="1"/>
  <c r="P323" i="11" s="1"/>
  <c r="N325" i="11"/>
  <c r="T325" i="11"/>
  <c r="U325" i="11"/>
  <c r="Q326" i="11"/>
  <c r="T326" i="11" s="1"/>
  <c r="R326" i="11"/>
  <c r="S326" i="11"/>
  <c r="U326" i="11"/>
  <c r="O327" i="11"/>
  <c r="P327" i="11"/>
  <c r="T327" i="11"/>
  <c r="U327" i="11"/>
  <c r="L328" i="11"/>
  <c r="M328" i="11"/>
  <c r="N328" i="11"/>
  <c r="N326" i="11" s="1"/>
  <c r="T328" i="11"/>
  <c r="U328" i="11"/>
  <c r="I330" i="11"/>
  <c r="L334" i="11"/>
  <c r="M334" i="11"/>
  <c r="P334" i="11" s="1"/>
  <c r="N334" i="11"/>
  <c r="O334" i="11"/>
  <c r="Q334" i="11"/>
  <c r="R334" i="11"/>
  <c r="U334" i="11" s="1"/>
  <c r="S334" i="11"/>
  <c r="Q335" i="11"/>
  <c r="T335" i="11" s="1"/>
  <c r="R335" i="11"/>
  <c r="S335" i="11"/>
  <c r="Q336" i="11"/>
  <c r="T336" i="11" s="1"/>
  <c r="R336" i="11"/>
  <c r="S336" i="11"/>
  <c r="U336" i="11"/>
  <c r="O337" i="11"/>
  <c r="P337" i="11"/>
  <c r="T337" i="11"/>
  <c r="U337" i="11"/>
  <c r="L338" i="11"/>
  <c r="M338" i="1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O341" i="11" s="1"/>
  <c r="M341" i="1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D354" i="11"/>
  <c r="L357" i="11"/>
  <c r="O357" i="11" s="1"/>
  <c r="M357" i="11"/>
  <c r="N357" i="11"/>
  <c r="Q357" i="11"/>
  <c r="R357" i="11"/>
  <c r="S357" i="11"/>
  <c r="T357" i="11"/>
  <c r="Q358" i="11"/>
  <c r="Q356" i="11" s="1"/>
  <c r="T356" i="11" s="1"/>
  <c r="R358" i="11"/>
  <c r="S358" i="11"/>
  <c r="T358" i="11"/>
  <c r="U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M359" i="11" s="1"/>
  <c r="N361" i="11"/>
  <c r="N359" i="11" s="1"/>
  <c r="T361" i="11"/>
  <c r="U361" i="11"/>
  <c r="Q362" i="11"/>
  <c r="R362" i="11"/>
  <c r="S362" i="11"/>
  <c r="T362" i="11"/>
  <c r="U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M376" i="11"/>
  <c r="N376" i="11"/>
  <c r="O376" i="11"/>
  <c r="P376" i="11"/>
  <c r="Q376" i="11"/>
  <c r="T376" i="11" s="1"/>
  <c r="R376" i="11"/>
  <c r="S376" i="11"/>
  <c r="U376" i="11"/>
  <c r="O379" i="11"/>
  <c r="P379" i="11"/>
  <c r="T379" i="11"/>
  <c r="U379" i="11"/>
  <c r="L380" i="11"/>
  <c r="M380" i="11"/>
  <c r="N380" i="11"/>
  <c r="N378" i="11" s="1"/>
  <c r="Q380" i="11"/>
  <c r="Q377" i="11" s="1"/>
  <c r="R380" i="11"/>
  <c r="R378" i="11" s="1"/>
  <c r="S380" i="11"/>
  <c r="S377" i="11" s="1"/>
  <c r="S375" i="11" s="1"/>
  <c r="Q381" i="11"/>
  <c r="T381" i="11" s="1"/>
  <c r="R381" i="11"/>
  <c r="U381" i="11" s="1"/>
  <c r="S381" i="11"/>
  <c r="O382" i="11"/>
  <c r="P382" i="11"/>
  <c r="T382" i="11"/>
  <c r="U382" i="11"/>
  <c r="L383" i="11"/>
  <c r="M383" i="11"/>
  <c r="P383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M393" i="11"/>
  <c r="N393" i="11"/>
  <c r="N392" i="11" s="1"/>
  <c r="P393" i="11"/>
  <c r="Q393" i="11"/>
  <c r="R393" i="11"/>
  <c r="S393" i="11"/>
  <c r="L394" i="11"/>
  <c r="O394" i="11" s="1"/>
  <c r="M394" i="11"/>
  <c r="P394" i="11" s="1"/>
  <c r="N394" i="11"/>
  <c r="L395" i="11"/>
  <c r="M395" i="11"/>
  <c r="N395" i="11"/>
  <c r="O395" i="11"/>
  <c r="P395" i="11"/>
  <c r="O396" i="11"/>
  <c r="P396" i="11"/>
  <c r="T396" i="11"/>
  <c r="U396" i="11"/>
  <c r="O397" i="11"/>
  <c r="P397" i="11"/>
  <c r="Q397" i="11"/>
  <c r="R397" i="11"/>
  <c r="R395" i="11" s="1"/>
  <c r="U395" i="11" s="1"/>
  <c r="S397" i="11"/>
  <c r="L398" i="11"/>
  <c r="O398" i="11" s="1"/>
  <c r="M398" i="11"/>
  <c r="P398" i="11" s="1"/>
  <c r="N398" i="11"/>
  <c r="Q398" i="11"/>
  <c r="R398" i="11"/>
  <c r="U398" i="11" s="1"/>
  <c r="S398" i="11"/>
  <c r="T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Q414" i="11"/>
  <c r="T414" i="11" s="1"/>
  <c r="R414" i="11"/>
  <c r="S414" i="11"/>
  <c r="O417" i="11"/>
  <c r="P417" i="11"/>
  <c r="T417" i="11"/>
  <c r="U417" i="11"/>
  <c r="L418" i="11"/>
  <c r="L416" i="11" s="1"/>
  <c r="M418" i="11"/>
  <c r="N418" i="11"/>
  <c r="Q418" i="11"/>
  <c r="Q415" i="11" s="1"/>
  <c r="R418" i="11"/>
  <c r="S418" i="11"/>
  <c r="S416" i="11" s="1"/>
  <c r="Q419" i="11"/>
  <c r="T419" i="11" s="1"/>
  <c r="R419" i="11"/>
  <c r="U419" i="11" s="1"/>
  <c r="S419" i="11"/>
  <c r="O420" i="11"/>
  <c r="P420" i="11"/>
  <c r="T420" i="11"/>
  <c r="U420" i="11"/>
  <c r="L421" i="11"/>
  <c r="M421" i="1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K440" i="11" s="1"/>
  <c r="I441" i="11"/>
  <c r="K441" i="11" s="1"/>
  <c r="J446" i="11"/>
  <c r="J440" i="11" s="1"/>
  <c r="J423" i="11" s="1"/>
  <c r="J412" i="11" s="1"/>
  <c r="J447" i="11"/>
  <c r="J441" i="11" s="1"/>
  <c r="I457" i="11"/>
  <c r="I458" i="11"/>
  <c r="K458" i="11" s="1"/>
  <c r="J459" i="11"/>
  <c r="J457" i="11" s="1"/>
  <c r="J456" i="11" s="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J485" i="11"/>
  <c r="K485" i="11"/>
  <c r="L494" i="11"/>
  <c r="O494" i="11" s="1"/>
  <c r="M494" i="11"/>
  <c r="N494" i="11"/>
  <c r="P494" i="11"/>
  <c r="Q494" i="11"/>
  <c r="R494" i="11"/>
  <c r="U494" i="11" s="1"/>
  <c r="S494" i="11"/>
  <c r="O497" i="11"/>
  <c r="P497" i="11"/>
  <c r="T497" i="11"/>
  <c r="U497" i="11"/>
  <c r="L498" i="11"/>
  <c r="M498" i="11"/>
  <c r="N498" i="11"/>
  <c r="N496" i="11" s="1"/>
  <c r="Q498" i="11"/>
  <c r="Q495" i="11" s="1"/>
  <c r="T495" i="11" s="1"/>
  <c r="R498" i="11"/>
  <c r="R495" i="11" s="1"/>
  <c r="U495" i="11" s="1"/>
  <c r="S498" i="11"/>
  <c r="S495" i="11" s="1"/>
  <c r="S493" i="11" s="1"/>
  <c r="Q499" i="11"/>
  <c r="R499" i="11"/>
  <c r="U499" i="11" s="1"/>
  <c r="S499" i="11"/>
  <c r="T499" i="11"/>
  <c r="O500" i="11"/>
  <c r="P500" i="11"/>
  <c r="T500" i="11"/>
  <c r="U500" i="11"/>
  <c r="L501" i="11"/>
  <c r="M501" i="11"/>
  <c r="P501" i="11" s="1"/>
  <c r="N501" i="11"/>
  <c r="N499" i="11" s="1"/>
  <c r="T501" i="11"/>
  <c r="U501" i="11"/>
  <c r="I503" i="11"/>
  <c r="I492" i="11" s="1"/>
  <c r="K492" i="11" s="1"/>
  <c r="I504" i="11"/>
  <c r="K504" i="11" s="1"/>
  <c r="I505" i="1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N514" i="11"/>
  <c r="Q514" i="11"/>
  <c r="T514" i="11" s="1"/>
  <c r="R514" i="11"/>
  <c r="R513" i="11" s="1"/>
  <c r="U513" i="11" s="1"/>
  <c r="S514" i="11"/>
  <c r="S513" i="11" s="1"/>
  <c r="U514" i="11"/>
  <c r="Q515" i="11"/>
  <c r="T515" i="11" s="1"/>
  <c r="R515" i="11"/>
  <c r="S515" i="11"/>
  <c r="U515" i="11"/>
  <c r="Q516" i="11"/>
  <c r="T516" i="11" s="1"/>
  <c r="R516" i="11"/>
  <c r="U516" i="11" s="1"/>
  <c r="S516" i="11"/>
  <c r="O517" i="11"/>
  <c r="P517" i="11"/>
  <c r="T517" i="11"/>
  <c r="U517" i="11"/>
  <c r="L518" i="11"/>
  <c r="L516" i="11" s="1"/>
  <c r="O516" i="11" s="1"/>
  <c r="M518" i="1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M521" i="11"/>
  <c r="N521" i="11"/>
  <c r="N519" i="11" s="1"/>
  <c r="T521" i="11"/>
  <c r="U521" i="11"/>
  <c r="K523" i="11"/>
  <c r="K524" i="11"/>
  <c r="I533" i="11"/>
  <c r="K533" i="11" s="1"/>
  <c r="J533" i="11"/>
  <c r="L535" i="11"/>
  <c r="M535" i="11"/>
  <c r="N535" i="11"/>
  <c r="O535" i="11"/>
  <c r="P535" i="11"/>
  <c r="Q535" i="11"/>
  <c r="R535" i="11"/>
  <c r="R534" i="11" s="1"/>
  <c r="U534" i="11" s="1"/>
  <c r="S535" i="11"/>
  <c r="S534" i="11" s="1"/>
  <c r="T535" i="11"/>
  <c r="U535" i="11"/>
  <c r="Q536" i="11"/>
  <c r="T536" i="11" s="1"/>
  <c r="R536" i="11"/>
  <c r="U536" i="11" s="1"/>
  <c r="S536" i="11"/>
  <c r="Q537" i="11"/>
  <c r="T537" i="11" s="1"/>
  <c r="R537" i="11"/>
  <c r="U537" i="11" s="1"/>
  <c r="S537" i="11"/>
  <c r="O538" i="11"/>
  <c r="P538" i="11"/>
  <c r="T538" i="11"/>
  <c r="U538" i="11"/>
  <c r="L539" i="11"/>
  <c r="L537" i="11" s="1"/>
  <c r="O537" i="11" s="1"/>
  <c r="M539" i="11"/>
  <c r="M537" i="11" s="1"/>
  <c r="P537" i="11" s="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N542" i="11"/>
  <c r="N540" i="11" s="1"/>
  <c r="T542" i="11"/>
  <c r="U542" i="11"/>
  <c r="I554" i="11"/>
  <c r="K554" i="11" s="1"/>
  <c r="J554" i="11"/>
  <c r="L556" i="11"/>
  <c r="M556" i="11"/>
  <c r="N556" i="11"/>
  <c r="Q556" i="11"/>
  <c r="R556" i="11"/>
  <c r="S556" i="11"/>
  <c r="Q557" i="11"/>
  <c r="R557" i="11"/>
  <c r="S557" i="11"/>
  <c r="T557" i="11"/>
  <c r="U557" i="1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N560" i="11"/>
  <c r="N558" i="11" s="1"/>
  <c r="T560" i="11"/>
  <c r="U560" i="11"/>
  <c r="Q561" i="11"/>
  <c r="R561" i="11"/>
  <c r="U561" i="11" s="1"/>
  <c r="S561" i="11"/>
  <c r="T561" i="11"/>
  <c r="O562" i="11"/>
  <c r="P562" i="11"/>
  <c r="T562" i="11"/>
  <c r="U562" i="11"/>
  <c r="L563" i="11"/>
  <c r="M563" i="11"/>
  <c r="M561" i="11" s="1"/>
  <c r="P561" i="11" s="1"/>
  <c r="N563" i="11"/>
  <c r="N561" i="11" s="1"/>
  <c r="T563" i="11"/>
  <c r="U563" i="11"/>
  <c r="I575" i="11"/>
  <c r="K575" i="11" s="1"/>
  <c r="J575" i="11"/>
  <c r="L577" i="11"/>
  <c r="M577" i="11"/>
  <c r="N577" i="11"/>
  <c r="O577" i="11"/>
  <c r="P577" i="11"/>
  <c r="Q577" i="11"/>
  <c r="R577" i="11"/>
  <c r="R576" i="11" s="1"/>
  <c r="U576" i="11" s="1"/>
  <c r="S577" i="11"/>
  <c r="S576" i="11" s="1"/>
  <c r="T577" i="11"/>
  <c r="U577" i="11"/>
  <c r="Q578" i="11"/>
  <c r="T578" i="11" s="1"/>
  <c r="R578" i="11"/>
  <c r="U578" i="11" s="1"/>
  <c r="S578" i="11"/>
  <c r="Q579" i="11"/>
  <c r="T579" i="11" s="1"/>
  <c r="R579" i="11"/>
  <c r="U579" i="11" s="1"/>
  <c r="S579" i="11"/>
  <c r="O580" i="11"/>
  <c r="P580" i="11"/>
  <c r="T580" i="11"/>
  <c r="U580" i="11"/>
  <c r="L581" i="11"/>
  <c r="L579" i="11" s="1"/>
  <c r="O579" i="11" s="1"/>
  <c r="M581" i="11"/>
  <c r="P581" i="11" s="1"/>
  <c r="N581" i="11"/>
  <c r="T581" i="11"/>
  <c r="U581" i="11"/>
  <c r="Q582" i="11"/>
  <c r="T582" i="11" s="1"/>
  <c r="R582" i="11"/>
  <c r="S582" i="11"/>
  <c r="U582" i="11"/>
  <c r="O583" i="11"/>
  <c r="P583" i="11"/>
  <c r="T583" i="11"/>
  <c r="U583" i="11"/>
  <c r="L584" i="11"/>
  <c r="L582" i="11" s="1"/>
  <c r="O582" i="11" s="1"/>
  <c r="M584" i="11"/>
  <c r="N584" i="11"/>
  <c r="N582" i="11" s="1"/>
  <c r="T584" i="11"/>
  <c r="U584" i="11"/>
  <c r="L600" i="11"/>
  <c r="O600" i="11" s="1"/>
  <c r="M600" i="11"/>
  <c r="N600" i="11"/>
  <c r="Q600" i="11"/>
  <c r="R600" i="11"/>
  <c r="U600" i="11" s="1"/>
  <c r="S600" i="11"/>
  <c r="T600" i="11"/>
  <c r="O603" i="11"/>
  <c r="P603" i="11"/>
  <c r="T603" i="11"/>
  <c r="U603" i="11"/>
  <c r="L604" i="11"/>
  <c r="M604" i="11"/>
  <c r="N604" i="11"/>
  <c r="N602" i="11" s="1"/>
  <c r="Q604" i="11"/>
  <c r="R604" i="11"/>
  <c r="R602" i="11" s="1"/>
  <c r="U602" i="11" s="1"/>
  <c r="S604" i="11"/>
  <c r="S602" i="11" s="1"/>
  <c r="O606" i="11"/>
  <c r="P606" i="11"/>
  <c r="T606" i="11"/>
  <c r="U606" i="11"/>
  <c r="L607" i="11"/>
  <c r="O607" i="11" s="1"/>
  <c r="M607" i="11"/>
  <c r="M605" i="11" s="1"/>
  <c r="P605" i="11" s="1"/>
  <c r="N607" i="11"/>
  <c r="N605" i="11" s="1"/>
  <c r="Q607" i="11"/>
  <c r="R607" i="11"/>
  <c r="U607" i="11" s="1"/>
  <c r="S607" i="11"/>
  <c r="S605" i="11" s="1"/>
  <c r="L617" i="11"/>
  <c r="M617" i="11"/>
  <c r="N617" i="11"/>
  <c r="Q617" i="11"/>
  <c r="R617" i="11"/>
  <c r="S617" i="11"/>
  <c r="L618" i="11"/>
  <c r="M618" i="11"/>
  <c r="P618" i="11" s="1"/>
  <c r="N618" i="11"/>
  <c r="O618" i="11"/>
  <c r="L619" i="11"/>
  <c r="M619" i="11"/>
  <c r="N619" i="11"/>
  <c r="O619" i="11"/>
  <c r="P619" i="11"/>
  <c r="O620" i="11"/>
  <c r="P620" i="11"/>
  <c r="T620" i="11"/>
  <c r="U620" i="11"/>
  <c r="O621" i="11"/>
  <c r="P621" i="11"/>
  <c r="Q621" i="11"/>
  <c r="R621" i="11"/>
  <c r="R618" i="11" s="1"/>
  <c r="S621" i="11"/>
  <c r="S619" i="11" s="1"/>
  <c r="L622" i="11"/>
  <c r="O622" i="11" s="1"/>
  <c r="M622" i="11"/>
  <c r="P622" i="11" s="1"/>
  <c r="N622" i="11"/>
  <c r="Q622" i="11"/>
  <c r="R622" i="11"/>
  <c r="U622" i="11" s="1"/>
  <c r="S622" i="11"/>
  <c r="T622" i="11"/>
  <c r="O623" i="11"/>
  <c r="P623" i="11"/>
  <c r="T623" i="11"/>
  <c r="U623" i="11"/>
  <c r="O624" i="11"/>
  <c r="P624" i="11"/>
  <c r="T624" i="11"/>
  <c r="U624" i="11"/>
  <c r="I626" i="11"/>
  <c r="J626" i="11"/>
  <c r="J615" i="11" s="1"/>
  <c r="I627" i="11"/>
  <c r="K627" i="11" s="1"/>
  <c r="I628" i="11"/>
  <c r="K628" i="11" s="1"/>
  <c r="J632" i="11"/>
  <c r="I635" i="11"/>
  <c r="K635" i="11" s="1"/>
  <c r="J636" i="11"/>
  <c r="J635" i="11" s="1"/>
  <c r="N642" i="11"/>
  <c r="L643" i="11"/>
  <c r="M643" i="11"/>
  <c r="N643" i="11"/>
  <c r="P643" i="11"/>
  <c r="Q643" i="11"/>
  <c r="R643" i="11"/>
  <c r="S643" i="11"/>
  <c r="L644" i="11"/>
  <c r="O644" i="11" s="1"/>
  <c r="M644" i="11"/>
  <c r="P644" i="11" s="1"/>
  <c r="N644" i="11"/>
  <c r="L645" i="11"/>
  <c r="M645" i="11"/>
  <c r="P645" i="11" s="1"/>
  <c r="N645" i="11"/>
  <c r="O645" i="11"/>
  <c r="O646" i="11"/>
  <c r="P646" i="11"/>
  <c r="T646" i="11"/>
  <c r="U646" i="11"/>
  <c r="O647" i="11"/>
  <c r="P647" i="11"/>
  <c r="Q647" i="11"/>
  <c r="Q644" i="11" s="1"/>
  <c r="T644" i="11" s="1"/>
  <c r="R647" i="11"/>
  <c r="R645" i="11" s="1"/>
  <c r="U645" i="11" s="1"/>
  <c r="S647" i="11"/>
  <c r="S645" i="11" s="1"/>
  <c r="L648" i="11"/>
  <c r="O648" i="11" s="1"/>
  <c r="M648" i="11"/>
  <c r="P648" i="11" s="1"/>
  <c r="N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N691" i="11"/>
  <c r="N690" i="11" s="1"/>
  <c r="P691" i="11"/>
  <c r="Q691" i="11"/>
  <c r="R691" i="11"/>
  <c r="S691" i="11"/>
  <c r="L692" i="11"/>
  <c r="O692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2" i="11" s="1"/>
  <c r="R695" i="11"/>
  <c r="R693" i="11" s="1"/>
  <c r="S695" i="11"/>
  <c r="S693" i="11" s="1"/>
  <c r="L696" i="11"/>
  <c r="O696" i="11" s="1"/>
  <c r="M696" i="11"/>
  <c r="P696" i="11" s="1"/>
  <c r="N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J707" i="11"/>
  <c r="J689" i="11" s="1"/>
  <c r="J708" i="11"/>
  <c r="K708" i="11"/>
  <c r="I709" i="11"/>
  <c r="J709" i="11"/>
  <c r="J710" i="11"/>
  <c r="K710" i="11"/>
  <c r="J712" i="11"/>
  <c r="K712" i="11"/>
  <c r="M714" i="11"/>
  <c r="P714" i="11" s="1"/>
  <c r="L715" i="11"/>
  <c r="L714" i="11" s="1"/>
  <c r="O714" i="11" s="1"/>
  <c r="M715" i="11"/>
  <c r="N715" i="11"/>
  <c r="O715" i="11"/>
  <c r="P715" i="11"/>
  <c r="Q715" i="11"/>
  <c r="T715" i="11" s="1"/>
  <c r="R715" i="11"/>
  <c r="R714" i="11" s="1"/>
  <c r="U714" i="11" s="1"/>
  <c r="S715" i="11"/>
  <c r="U715" i="11"/>
  <c r="L716" i="11"/>
  <c r="O716" i="11" s="1"/>
  <c r="M716" i="11"/>
  <c r="P716" i="11" s="1"/>
  <c r="N716" i="11"/>
  <c r="Q716" i="11"/>
  <c r="T716" i="11" s="1"/>
  <c r="R716" i="11"/>
  <c r="U716" i="11" s="1"/>
  <c r="S716" i="11"/>
  <c r="S714" i="11" s="1"/>
  <c r="L717" i="11"/>
  <c r="O717" i="11" s="1"/>
  <c r="M717" i="11"/>
  <c r="P717" i="11" s="1"/>
  <c r="N717" i="11"/>
  <c r="Q717" i="11"/>
  <c r="R717" i="11"/>
  <c r="U717" i="11" s="1"/>
  <c r="S717" i="11"/>
  <c r="T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R720" i="11"/>
  <c r="U720" i="11" s="1"/>
  <c r="S720" i="11"/>
  <c r="T720" i="11"/>
  <c r="O721" i="11"/>
  <c r="P721" i="11"/>
  <c r="T721" i="11"/>
  <c r="U721" i="11"/>
  <c r="O722" i="11"/>
  <c r="P722" i="11"/>
  <c r="T722" i="11"/>
  <c r="U722" i="11"/>
  <c r="I726" i="11"/>
  <c r="J726" i="11"/>
  <c r="I727" i="11"/>
  <c r="J727" i="11"/>
  <c r="L728" i="11"/>
  <c r="O728" i="11" s="1"/>
  <c r="L729" i="11"/>
  <c r="M729" i="11"/>
  <c r="M728" i="11" s="1"/>
  <c r="P728" i="11" s="1"/>
  <c r="N729" i="11"/>
  <c r="O729" i="11"/>
  <c r="Q729" i="11"/>
  <c r="R729" i="11"/>
  <c r="S729" i="11"/>
  <c r="T729" i="11"/>
  <c r="U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R733" i="11"/>
  <c r="R731" i="11" s="1"/>
  <c r="S733" i="11"/>
  <c r="S731" i="11" s="1"/>
  <c r="L734" i="11"/>
  <c r="M734" i="11"/>
  <c r="N734" i="11"/>
  <c r="O734" i="11"/>
  <c r="P734" i="11"/>
  <c r="Q734" i="11"/>
  <c r="T734" i="11" s="1"/>
  <c r="R734" i="11"/>
  <c r="S734" i="11"/>
  <c r="U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M761" i="11"/>
  <c r="N761" i="11"/>
  <c r="N760" i="11" s="1"/>
  <c r="Q761" i="11"/>
  <c r="R761" i="11"/>
  <c r="S761" i="11"/>
  <c r="L762" i="11"/>
  <c r="O762" i="11" s="1"/>
  <c r="M762" i="11"/>
  <c r="P762" i="11" s="1"/>
  <c r="N762" i="11"/>
  <c r="L763" i="11"/>
  <c r="M763" i="11"/>
  <c r="P763" i="11" s="1"/>
  <c r="N763" i="11"/>
  <c r="O763" i="11"/>
  <c r="O764" i="11"/>
  <c r="P764" i="11"/>
  <c r="T764" i="11"/>
  <c r="U764" i="11"/>
  <c r="O765" i="11"/>
  <c r="P765" i="11"/>
  <c r="Q765" i="11"/>
  <c r="Q763" i="11" s="1"/>
  <c r="T763" i="11" s="1"/>
  <c r="R765" i="11"/>
  <c r="R763" i="11" s="1"/>
  <c r="U763" i="11" s="1"/>
  <c r="S765" i="11"/>
  <c r="S762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T22" i="10" s="1"/>
  <c r="R22" i="10"/>
  <c r="U22" i="10" s="1"/>
  <c r="S22" i="10"/>
  <c r="L25" i="10"/>
  <c r="O25" i="10" s="1"/>
  <c r="M25" i="10"/>
  <c r="P25" i="10" s="1"/>
  <c r="N25" i="10"/>
  <c r="Q25" i="10"/>
  <c r="T25" i="10" s="1"/>
  <c r="R25" i="10"/>
  <c r="U25" i="10" s="1"/>
  <c r="S25" i="10"/>
  <c r="L45" i="10"/>
  <c r="M45" i="10"/>
  <c r="P45" i="10" s="1"/>
  <c r="N45" i="10"/>
  <c r="Q45" i="10"/>
  <c r="Q44" i="10" s="1"/>
  <c r="T44" i="10" s="1"/>
  <c r="R45" i="10"/>
  <c r="U45" i="10" s="1"/>
  <c r="S45" i="10"/>
  <c r="Q46" i="10"/>
  <c r="R46" i="10"/>
  <c r="U46" i="10" s="1"/>
  <c r="S46" i="10"/>
  <c r="T46" i="10"/>
  <c r="Q47" i="10"/>
  <c r="T47" i="10" s="1"/>
  <c r="R47" i="10"/>
  <c r="S47" i="10"/>
  <c r="U47" i="10"/>
  <c r="O48" i="10"/>
  <c r="P48" i="10"/>
  <c r="T48" i="10"/>
  <c r="U48" i="10"/>
  <c r="L49" i="10"/>
  <c r="M49" i="10"/>
  <c r="N49" i="10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O52" i="10" s="1"/>
  <c r="M52" i="10"/>
  <c r="P52" i="10" s="1"/>
  <c r="N52" i="10"/>
  <c r="T52" i="10"/>
  <c r="U52" i="10"/>
  <c r="L60" i="10"/>
  <c r="O60" i="10" s="1"/>
  <c r="M60" i="10"/>
  <c r="P60" i="10" s="1"/>
  <c r="N60" i="10"/>
  <c r="Q60" i="10"/>
  <c r="R60" i="10"/>
  <c r="U60" i="10" s="1"/>
  <c r="S60" i="10"/>
  <c r="Q61" i="10"/>
  <c r="T61" i="10" s="1"/>
  <c r="R61" i="10"/>
  <c r="U61" i="10" s="1"/>
  <c r="S61" i="10"/>
  <c r="S59" i="10" s="1"/>
  <c r="Q62" i="10"/>
  <c r="T62" i="10" s="1"/>
  <c r="R62" i="10"/>
  <c r="U62" i="10" s="1"/>
  <c r="S62" i="10"/>
  <c r="O63" i="10"/>
  <c r="P63" i="10"/>
  <c r="T63" i="10"/>
  <c r="U63" i="10"/>
  <c r="L64" i="10"/>
  <c r="M64" i="10"/>
  <c r="N64" i="10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L65" i="10" s="1"/>
  <c r="M67" i="10"/>
  <c r="M65" i="10" s="1"/>
  <c r="N67" i="10"/>
  <c r="N65" i="10" s="1"/>
  <c r="T67" i="10"/>
  <c r="U67" i="10"/>
  <c r="L73" i="10"/>
  <c r="M73" i="10"/>
  <c r="P73" i="10" s="1"/>
  <c r="N73" i="10"/>
  <c r="Q73" i="10"/>
  <c r="R73" i="10"/>
  <c r="U73" i="10" s="1"/>
  <c r="S73" i="10"/>
  <c r="O76" i="10"/>
  <c r="P76" i="10"/>
  <c r="T76" i="10"/>
  <c r="U76" i="10"/>
  <c r="L77" i="10"/>
  <c r="M77" i="10"/>
  <c r="M75" i="10" s="1"/>
  <c r="P75" i="10" s="1"/>
  <c r="N77" i="10"/>
  <c r="N75" i="10" s="1"/>
  <c r="Q77" i="10"/>
  <c r="R77" i="10"/>
  <c r="R75" i="10" s="1"/>
  <c r="U75" i="10" s="1"/>
  <c r="S77" i="10"/>
  <c r="O79" i="10"/>
  <c r="P79" i="10"/>
  <c r="T79" i="10"/>
  <c r="U79" i="10"/>
  <c r="L80" i="10"/>
  <c r="O80" i="10" s="1"/>
  <c r="M80" i="10"/>
  <c r="N80" i="10"/>
  <c r="Q80" i="10"/>
  <c r="T80" i="10" s="1"/>
  <c r="R80" i="10"/>
  <c r="U80" i="10" s="1"/>
  <c r="S80" i="10"/>
  <c r="J82" i="10"/>
  <c r="J70" i="10" s="1"/>
  <c r="J83" i="10"/>
  <c r="J71" i="10" s="1"/>
  <c r="I84" i="10"/>
  <c r="I85" i="10"/>
  <c r="K85" i="10" s="1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O95" i="10" s="1"/>
  <c r="M95" i="10"/>
  <c r="N95" i="10"/>
  <c r="P95" i="10"/>
  <c r="Q95" i="10"/>
  <c r="T95" i="10" s="1"/>
  <c r="R95" i="10"/>
  <c r="U95" i="10" s="1"/>
  <c r="S95" i="10"/>
  <c r="O98" i="10"/>
  <c r="P98" i="10"/>
  <c r="T98" i="10"/>
  <c r="U98" i="10"/>
  <c r="L99" i="10"/>
  <c r="O99" i="10" s="1"/>
  <c r="M99" i="10"/>
  <c r="P99" i="10" s="1"/>
  <c r="N99" i="10"/>
  <c r="Q99" i="10"/>
  <c r="Q96" i="10" s="1"/>
  <c r="Q94" i="10" s="1"/>
  <c r="T94" i="10" s="1"/>
  <c r="R99" i="10"/>
  <c r="U99" i="10" s="1"/>
  <c r="S99" i="10"/>
  <c r="Q100" i="10"/>
  <c r="T100" i="10" s="1"/>
  <c r="R100" i="10"/>
  <c r="U100" i="10" s="1"/>
  <c r="S100" i="10"/>
  <c r="O101" i="10"/>
  <c r="P101" i="10"/>
  <c r="T101" i="10"/>
  <c r="U101" i="10"/>
  <c r="L102" i="10"/>
  <c r="M102" i="10"/>
  <c r="P102" i="10" s="1"/>
  <c r="N102" i="10"/>
  <c r="N100" i="10" s="1"/>
  <c r="T102" i="10"/>
  <c r="U102" i="10"/>
  <c r="I108" i="10"/>
  <c r="I109" i="10"/>
  <c r="I114" i="10"/>
  <c r="K114" i="10" s="1"/>
  <c r="J116" i="10"/>
  <c r="L118" i="10"/>
  <c r="O118" i="10" s="1"/>
  <c r="M118" i="10"/>
  <c r="N118" i="10"/>
  <c r="Q118" i="10"/>
  <c r="T118" i="10" s="1"/>
  <c r="R118" i="10"/>
  <c r="S118" i="10"/>
  <c r="O121" i="10"/>
  <c r="P121" i="10"/>
  <c r="T121" i="10"/>
  <c r="U121" i="10"/>
  <c r="L122" i="10"/>
  <c r="L120" i="10" s="1"/>
  <c r="O120" i="10" s="1"/>
  <c r="M122" i="10"/>
  <c r="P122" i="10" s="1"/>
  <c r="N122" i="10"/>
  <c r="N120" i="10" s="1"/>
  <c r="Q122" i="10"/>
  <c r="R122" i="10"/>
  <c r="S122" i="10"/>
  <c r="O124" i="10"/>
  <c r="P124" i="10"/>
  <c r="T124" i="10"/>
  <c r="U124" i="10"/>
  <c r="L125" i="10"/>
  <c r="L123" i="10" s="1"/>
  <c r="O123" i="10" s="1"/>
  <c r="M125" i="10"/>
  <c r="N125" i="10"/>
  <c r="N123" i="10" s="1"/>
  <c r="Q125" i="10"/>
  <c r="R125" i="10"/>
  <c r="R123" i="10" s="1"/>
  <c r="U123" i="10" s="1"/>
  <c r="S125" i="10"/>
  <c r="S123" i="10" s="1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N140" i="10"/>
  <c r="Q140" i="10"/>
  <c r="R140" i="10"/>
  <c r="U140" i="10" s="1"/>
  <c r="S140" i="10"/>
  <c r="T140" i="10"/>
  <c r="O143" i="10"/>
  <c r="P143" i="10"/>
  <c r="T143" i="10"/>
  <c r="U143" i="10"/>
  <c r="L144" i="10"/>
  <c r="L142" i="10" s="1"/>
  <c r="O142" i="10" s="1"/>
  <c r="M144" i="10"/>
  <c r="M142" i="10" s="1"/>
  <c r="P142" i="10" s="1"/>
  <c r="N144" i="10"/>
  <c r="Q144" i="10"/>
  <c r="R144" i="10"/>
  <c r="S144" i="10"/>
  <c r="S142" i="10" s="1"/>
  <c r="O146" i="10"/>
  <c r="P146" i="10"/>
  <c r="T146" i="10"/>
  <c r="U146" i="10"/>
  <c r="L147" i="10"/>
  <c r="L145" i="10" s="1"/>
  <c r="O145" i="10" s="1"/>
  <c r="M147" i="10"/>
  <c r="M145" i="10" s="1"/>
  <c r="P145" i="10" s="1"/>
  <c r="N147" i="10"/>
  <c r="N145" i="10" s="1"/>
  <c r="Q147" i="10"/>
  <c r="Q145" i="10" s="1"/>
  <c r="T145" i="10" s="1"/>
  <c r="R147" i="10"/>
  <c r="R145" i="10" s="1"/>
  <c r="U145" i="10" s="1"/>
  <c r="S147" i="10"/>
  <c r="S145" i="10" s="1"/>
  <c r="I150" i="10"/>
  <c r="K150" i="10" s="1"/>
  <c r="I151" i="10"/>
  <c r="K151" i="10" s="1"/>
  <c r="I152" i="10"/>
  <c r="K152" i="10" s="1"/>
  <c r="I153" i="10"/>
  <c r="I154" i="10"/>
  <c r="J156" i="10"/>
  <c r="L158" i="10"/>
  <c r="M158" i="10"/>
  <c r="P158" i="10" s="1"/>
  <c r="N158" i="10"/>
  <c r="Q158" i="10"/>
  <c r="T158" i="10" s="1"/>
  <c r="R158" i="10"/>
  <c r="S158" i="10"/>
  <c r="O161" i="10"/>
  <c r="P161" i="10"/>
  <c r="T161" i="10"/>
  <c r="U161" i="10"/>
  <c r="L162" i="10"/>
  <c r="M162" i="10"/>
  <c r="N162" i="10"/>
  <c r="N160" i="10" s="1"/>
  <c r="Q162" i="10"/>
  <c r="Q159" i="10" s="1"/>
  <c r="T159" i="10" s="1"/>
  <c r="R162" i="10"/>
  <c r="R160" i="10" s="1"/>
  <c r="U160" i="10" s="1"/>
  <c r="S162" i="10"/>
  <c r="Q163" i="10"/>
  <c r="T163" i="10" s="1"/>
  <c r="R163" i="10"/>
  <c r="S163" i="10"/>
  <c r="U163" i="10"/>
  <c r="O164" i="10"/>
  <c r="P164" i="10"/>
  <c r="T164" i="10"/>
  <c r="U164" i="10"/>
  <c r="L165" i="10"/>
  <c r="L163" i="10" s="1"/>
  <c r="O163" i="10" s="1"/>
  <c r="M165" i="10"/>
  <c r="P165" i="10" s="1"/>
  <c r="N165" i="10"/>
  <c r="T165" i="10"/>
  <c r="U165" i="10"/>
  <c r="I167" i="10"/>
  <c r="K167" i="10" s="1"/>
  <c r="I168" i="10"/>
  <c r="K168" i="10" s="1"/>
  <c r="I169" i="10"/>
  <c r="J172" i="10"/>
  <c r="L174" i="10"/>
  <c r="M174" i="10"/>
  <c r="P174" i="10" s="1"/>
  <c r="N174" i="10"/>
  <c r="O174" i="10"/>
  <c r="Q174" i="10"/>
  <c r="T174" i="10" s="1"/>
  <c r="R174" i="10"/>
  <c r="S174" i="10"/>
  <c r="U174" i="10"/>
  <c r="O177" i="10"/>
  <c r="P177" i="10"/>
  <c r="T177" i="10"/>
  <c r="U177" i="10"/>
  <c r="L178" i="10"/>
  <c r="M178" i="10"/>
  <c r="N178" i="10"/>
  <c r="N176" i="10" s="1"/>
  <c r="Q178" i="10"/>
  <c r="T178" i="10" s="1"/>
  <c r="R178" i="10"/>
  <c r="S178" i="10"/>
  <c r="Q179" i="10"/>
  <c r="T179" i="10" s="1"/>
  <c r="R179" i="10"/>
  <c r="U179" i="10" s="1"/>
  <c r="S179" i="10"/>
  <c r="O180" i="10"/>
  <c r="P180" i="10"/>
  <c r="T180" i="10"/>
  <c r="U180" i="10"/>
  <c r="L181" i="10"/>
  <c r="M181" i="10"/>
  <c r="M179" i="10" s="1"/>
  <c r="P179" i="10" s="1"/>
  <c r="N181" i="10"/>
  <c r="N179" i="10" s="1"/>
  <c r="T181" i="10"/>
  <c r="U181" i="10"/>
  <c r="I183" i="10"/>
  <c r="K183" i="10" s="1"/>
  <c r="K184" i="10"/>
  <c r="L187" i="10"/>
  <c r="O187" i="10" s="1"/>
  <c r="M187" i="10"/>
  <c r="N187" i="10"/>
  <c r="Q187" i="10"/>
  <c r="R187" i="10"/>
  <c r="U187" i="10" s="1"/>
  <c r="S187" i="10"/>
  <c r="O190" i="10"/>
  <c r="P190" i="10"/>
  <c r="T190" i="10"/>
  <c r="U190" i="10"/>
  <c r="L191" i="10"/>
  <c r="L189" i="10" s="1"/>
  <c r="M191" i="10"/>
  <c r="M189" i="10" s="1"/>
  <c r="N191" i="10"/>
  <c r="Q191" i="10"/>
  <c r="Q189" i="10" s="1"/>
  <c r="T189" i="10" s="1"/>
  <c r="R191" i="10"/>
  <c r="R189" i="10" s="1"/>
  <c r="U189" i="10" s="1"/>
  <c r="S191" i="10"/>
  <c r="S189" i="10" s="1"/>
  <c r="O193" i="10"/>
  <c r="P193" i="10"/>
  <c r="T193" i="10"/>
  <c r="U193" i="10"/>
  <c r="L194" i="10"/>
  <c r="L192" i="10" s="1"/>
  <c r="O192" i="10" s="1"/>
  <c r="M194" i="10"/>
  <c r="M192" i="10" s="1"/>
  <c r="P192" i="10" s="1"/>
  <c r="N194" i="10"/>
  <c r="N192" i="10" s="1"/>
  <c r="Q194" i="10"/>
  <c r="Q192" i="10" s="1"/>
  <c r="T192" i="10" s="1"/>
  <c r="R194" i="10"/>
  <c r="S194" i="10"/>
  <c r="S192" i="10" s="1"/>
  <c r="J195" i="10"/>
  <c r="L196" i="10"/>
  <c r="O196" i="10" s="1"/>
  <c r="P196" i="10"/>
  <c r="I198" i="10"/>
  <c r="K198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K240" i="10" s="1"/>
  <c r="J240" i="10"/>
  <c r="I241" i="10"/>
  <c r="J241" i="10"/>
  <c r="K241" i="10"/>
  <c r="J242" i="10"/>
  <c r="N243" i="10"/>
  <c r="P243" i="10"/>
  <c r="L244" i="10"/>
  <c r="L245" i="10"/>
  <c r="L246" i="10"/>
  <c r="L247" i="10"/>
  <c r="I249" i="10"/>
  <c r="K249" i="10" s="1"/>
  <c r="K251" i="10"/>
  <c r="K252" i="10"/>
  <c r="J253" i="10"/>
  <c r="N254" i="10"/>
  <c r="N232" i="10" s="1"/>
  <c r="P254" i="10"/>
  <c r="L255" i="10"/>
  <c r="L256" i="10"/>
  <c r="L257" i="10"/>
  <c r="L258" i="10"/>
  <c r="I260" i="10"/>
  <c r="K262" i="10"/>
  <c r="K263" i="10"/>
  <c r="J265" i="10"/>
  <c r="L267" i="10"/>
  <c r="O267" i="10" s="1"/>
  <c r="M267" i="10"/>
  <c r="P267" i="10" s="1"/>
  <c r="N267" i="10"/>
  <c r="Q267" i="10"/>
  <c r="T267" i="10" s="1"/>
  <c r="R267" i="10"/>
  <c r="U267" i="10" s="1"/>
  <c r="S267" i="10"/>
  <c r="O270" i="10"/>
  <c r="P270" i="10"/>
  <c r="T270" i="10"/>
  <c r="U270" i="10"/>
  <c r="L271" i="10"/>
  <c r="M271" i="10"/>
  <c r="M269" i="10" s="1"/>
  <c r="N271" i="10"/>
  <c r="Q271" i="10"/>
  <c r="Q269" i="10" s="1"/>
  <c r="R271" i="10"/>
  <c r="R269" i="10" s="1"/>
  <c r="S271" i="10"/>
  <c r="S268" i="10" s="1"/>
  <c r="S266" i="10" s="1"/>
  <c r="Q272" i="10"/>
  <c r="R272" i="10"/>
  <c r="S272" i="10"/>
  <c r="T272" i="10"/>
  <c r="U272" i="10"/>
  <c r="O273" i="10"/>
  <c r="P273" i="10"/>
  <c r="T273" i="10"/>
  <c r="U273" i="10"/>
  <c r="L274" i="10"/>
  <c r="L272" i="10" s="1"/>
  <c r="O272" i="10" s="1"/>
  <c r="M274" i="10"/>
  <c r="P274" i="10" s="1"/>
  <c r="N274" i="10"/>
  <c r="N272" i="10" s="1"/>
  <c r="T274" i="10"/>
  <c r="U274" i="10"/>
  <c r="I276" i="10"/>
  <c r="K276" i="10" s="1"/>
  <c r="J281" i="10"/>
  <c r="L283" i="10"/>
  <c r="O283" i="10" s="1"/>
  <c r="M283" i="10"/>
  <c r="N283" i="10"/>
  <c r="Q283" i="10"/>
  <c r="R283" i="10"/>
  <c r="U283" i="10" s="1"/>
  <c r="S283" i="10"/>
  <c r="Q284" i="10"/>
  <c r="R284" i="10"/>
  <c r="U284" i="10" s="1"/>
  <c r="S284" i="10"/>
  <c r="T284" i="10"/>
  <c r="Q285" i="10"/>
  <c r="R285" i="10"/>
  <c r="S285" i="10"/>
  <c r="T285" i="10"/>
  <c r="U285" i="10"/>
  <c r="O286" i="10"/>
  <c r="P286" i="10"/>
  <c r="T286" i="10"/>
  <c r="U286" i="10"/>
  <c r="L287" i="10"/>
  <c r="M287" i="10"/>
  <c r="N287" i="10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K292" i="10" s="1"/>
  <c r="I293" i="10"/>
  <c r="J293" i="10"/>
  <c r="J280" i="10" s="1"/>
  <c r="I295" i="10"/>
  <c r="K295" i="10" s="1"/>
  <c r="I296" i="10"/>
  <c r="K296" i="10" s="1"/>
  <c r="J302" i="10"/>
  <c r="L304" i="10"/>
  <c r="O304" i="10" s="1"/>
  <c r="M304" i="10"/>
  <c r="N304" i="10"/>
  <c r="P304" i="10"/>
  <c r="Q304" i="10"/>
  <c r="R304" i="10"/>
  <c r="U304" i="10" s="1"/>
  <c r="S304" i="10"/>
  <c r="O307" i="10"/>
  <c r="P307" i="10"/>
  <c r="T307" i="10"/>
  <c r="U307" i="10"/>
  <c r="L308" i="10"/>
  <c r="M308" i="10"/>
  <c r="N308" i="10"/>
  <c r="Q308" i="10"/>
  <c r="Q306" i="10" s="1"/>
  <c r="T306" i="10" s="1"/>
  <c r="R308" i="10"/>
  <c r="R305" i="10" s="1"/>
  <c r="S308" i="10"/>
  <c r="S306" i="10" s="1"/>
  <c r="Q309" i="10"/>
  <c r="T309" i="10" s="1"/>
  <c r="R309" i="10"/>
  <c r="S309" i="10"/>
  <c r="U309" i="10"/>
  <c r="O310" i="10"/>
  <c r="P310" i="10"/>
  <c r="T310" i="10"/>
  <c r="U310" i="10"/>
  <c r="L311" i="10"/>
  <c r="M311" i="10"/>
  <c r="N311" i="10"/>
  <c r="N309" i="10" s="1"/>
  <c r="T311" i="10"/>
  <c r="U311" i="10"/>
  <c r="I314" i="10"/>
  <c r="K314" i="10" s="1"/>
  <c r="J319" i="10"/>
  <c r="S320" i="10"/>
  <c r="L321" i="10"/>
  <c r="M321" i="10"/>
  <c r="N321" i="10"/>
  <c r="O321" i="10"/>
  <c r="P321" i="10"/>
  <c r="Q321" i="10"/>
  <c r="T321" i="10" s="1"/>
  <c r="R321" i="10"/>
  <c r="R320" i="10" s="1"/>
  <c r="U320" i="10" s="1"/>
  <c r="S321" i="10"/>
  <c r="U321" i="10"/>
  <c r="Q322" i="10"/>
  <c r="R322" i="10"/>
  <c r="U322" i="10" s="1"/>
  <c r="S322" i="10"/>
  <c r="Q323" i="10"/>
  <c r="T323" i="10" s="1"/>
  <c r="R323" i="10"/>
  <c r="U323" i="10" s="1"/>
  <c r="S323" i="10"/>
  <c r="O324" i="10"/>
  <c r="P324" i="10"/>
  <c r="T324" i="10"/>
  <c r="U324" i="10"/>
  <c r="L325" i="10"/>
  <c r="M325" i="10"/>
  <c r="P325" i="10" s="1"/>
  <c r="N325" i="10"/>
  <c r="N323" i="10" s="1"/>
  <c r="T325" i="10"/>
  <c r="U325" i="10"/>
  <c r="Q326" i="10"/>
  <c r="T326" i="10" s="1"/>
  <c r="R326" i="10"/>
  <c r="S326" i="10"/>
  <c r="U326" i="10"/>
  <c r="O327" i="10"/>
  <c r="P327" i="10"/>
  <c r="T327" i="10"/>
  <c r="U327" i="10"/>
  <c r="L328" i="10"/>
  <c r="L326" i="10" s="1"/>
  <c r="O326" i="10" s="1"/>
  <c r="M328" i="10"/>
  <c r="N328" i="10"/>
  <c r="N326" i="10" s="1"/>
  <c r="T328" i="10"/>
  <c r="U328" i="10"/>
  <c r="I330" i="10"/>
  <c r="S333" i="10"/>
  <c r="L334" i="10"/>
  <c r="O334" i="10" s="1"/>
  <c r="M334" i="10"/>
  <c r="N334" i="10"/>
  <c r="P334" i="10"/>
  <c r="Q334" i="10"/>
  <c r="T334" i="10" s="1"/>
  <c r="R334" i="10"/>
  <c r="S334" i="10"/>
  <c r="U334" i="10"/>
  <c r="Q335" i="10"/>
  <c r="R335" i="10"/>
  <c r="S335" i="10"/>
  <c r="Q336" i="10"/>
  <c r="R336" i="10"/>
  <c r="S336" i="10"/>
  <c r="T336" i="10"/>
  <c r="U336" i="10"/>
  <c r="O337" i="10"/>
  <c r="P337" i="10"/>
  <c r="T337" i="10"/>
  <c r="U337" i="10"/>
  <c r="L338" i="10"/>
  <c r="M338" i="10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L339" i="10" s="1"/>
  <c r="O339" i="10" s="1"/>
  <c r="M341" i="10"/>
  <c r="M339" i="10" s="1"/>
  <c r="P339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D354" i="10"/>
  <c r="L357" i="10"/>
  <c r="M357" i="10"/>
  <c r="N357" i="10"/>
  <c r="Q357" i="10"/>
  <c r="T357" i="10" s="1"/>
  <c r="R357" i="10"/>
  <c r="S357" i="10"/>
  <c r="S356" i="10" s="1"/>
  <c r="Q358" i="10"/>
  <c r="Q356" i="10" s="1"/>
  <c r="T356" i="10" s="1"/>
  <c r="R358" i="10"/>
  <c r="S358" i="10"/>
  <c r="T358" i="10"/>
  <c r="U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N361" i="10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M364" i="10"/>
  <c r="P364" i="10" s="1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O376" i="10" s="1"/>
  <c r="M376" i="10"/>
  <c r="P376" i="10" s="1"/>
  <c r="N376" i="10"/>
  <c r="Q376" i="10"/>
  <c r="R376" i="10"/>
  <c r="U376" i="10" s="1"/>
  <c r="S376" i="10"/>
  <c r="O379" i="10"/>
  <c r="P379" i="10"/>
  <c r="T379" i="10"/>
  <c r="U379" i="10"/>
  <c r="L380" i="10"/>
  <c r="L378" i="10" s="1"/>
  <c r="M380" i="10"/>
  <c r="M378" i="10" s="1"/>
  <c r="N380" i="10"/>
  <c r="N378" i="10" s="1"/>
  <c r="Q380" i="10"/>
  <c r="Q378" i="10" s="1"/>
  <c r="R380" i="10"/>
  <c r="S380" i="10"/>
  <c r="S377" i="10" s="1"/>
  <c r="Q381" i="10"/>
  <c r="T381" i="10" s="1"/>
  <c r="R381" i="10"/>
  <c r="U381" i="10" s="1"/>
  <c r="S381" i="10"/>
  <c r="O382" i="10"/>
  <c r="P382" i="10"/>
  <c r="T382" i="10"/>
  <c r="U382" i="10"/>
  <c r="L383" i="10"/>
  <c r="O383" i="10" s="1"/>
  <c r="M383" i="10"/>
  <c r="P383" i="10" s="1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O393" i="10" s="1"/>
  <c r="M393" i="10"/>
  <c r="N393" i="10"/>
  <c r="P393" i="10"/>
  <c r="Q393" i="10"/>
  <c r="R393" i="10"/>
  <c r="U393" i="10" s="1"/>
  <c r="S393" i="10"/>
  <c r="L394" i="10"/>
  <c r="O394" i="10" s="1"/>
  <c r="M394" i="10"/>
  <c r="N394" i="10"/>
  <c r="P394" i="10"/>
  <c r="L395" i="10"/>
  <c r="O395" i="10" s="1"/>
  <c r="M395" i="10"/>
  <c r="N395" i="10"/>
  <c r="P395" i="10"/>
  <c r="O396" i="10"/>
  <c r="P396" i="10"/>
  <c r="T396" i="10"/>
  <c r="U396" i="10"/>
  <c r="O397" i="10"/>
  <c r="P397" i="10"/>
  <c r="Q397" i="10"/>
  <c r="Q395" i="10" s="1"/>
  <c r="T395" i="10" s="1"/>
  <c r="R397" i="10"/>
  <c r="R394" i="10" s="1"/>
  <c r="U394" i="10" s="1"/>
  <c r="S397" i="10"/>
  <c r="S395" i="10" s="1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O414" i="10" s="1"/>
  <c r="M414" i="10"/>
  <c r="N414" i="10"/>
  <c r="P414" i="10"/>
  <c r="Q414" i="10"/>
  <c r="R414" i="10"/>
  <c r="U414" i="10" s="1"/>
  <c r="S414" i="10"/>
  <c r="O417" i="10"/>
  <c r="P417" i="10"/>
  <c r="T417" i="10"/>
  <c r="U417" i="10"/>
  <c r="L418" i="10"/>
  <c r="O418" i="10" s="1"/>
  <c r="M418" i="10"/>
  <c r="N418" i="10"/>
  <c r="N416" i="10" s="1"/>
  <c r="Q418" i="10"/>
  <c r="Q415" i="10" s="1"/>
  <c r="T415" i="10" s="1"/>
  <c r="R418" i="10"/>
  <c r="U418" i="10" s="1"/>
  <c r="S418" i="10"/>
  <c r="S416" i="10" s="1"/>
  <c r="Q419" i="10"/>
  <c r="R419" i="10"/>
  <c r="S419" i="10"/>
  <c r="T419" i="10"/>
  <c r="U419" i="10"/>
  <c r="O420" i="10"/>
  <c r="P420" i="10"/>
  <c r="T420" i="10"/>
  <c r="U420" i="10"/>
  <c r="L421" i="10"/>
  <c r="O421" i="10" s="1"/>
  <c r="M421" i="10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I441" i="10"/>
  <c r="K441" i="10" s="1"/>
  <c r="J446" i="10"/>
  <c r="J440" i="10" s="1"/>
  <c r="J423" i="10" s="1"/>
  <c r="J412" i="10" s="1"/>
  <c r="J447" i="10"/>
  <c r="J441" i="10" s="1"/>
  <c r="I457" i="10"/>
  <c r="K457" i="10" s="1"/>
  <c r="J457" i="10"/>
  <c r="J456" i="10" s="1"/>
  <c r="I458" i="10"/>
  <c r="K458" i="10" s="1"/>
  <c r="J459" i="10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O494" i="10" s="1"/>
  <c r="M494" i="10"/>
  <c r="N494" i="10"/>
  <c r="P494" i="10"/>
  <c r="Q494" i="10"/>
  <c r="T494" i="10" s="1"/>
  <c r="R494" i="10"/>
  <c r="S494" i="10"/>
  <c r="O497" i="10"/>
  <c r="P497" i="10"/>
  <c r="T497" i="10"/>
  <c r="U497" i="10"/>
  <c r="L498" i="10"/>
  <c r="O498" i="10" s="1"/>
  <c r="M498" i="10"/>
  <c r="P498" i="10" s="1"/>
  <c r="N498" i="10"/>
  <c r="N496" i="10" s="1"/>
  <c r="Q498" i="10"/>
  <c r="Q496" i="10" s="1"/>
  <c r="T496" i="10" s="1"/>
  <c r="R498" i="10"/>
  <c r="U498" i="10" s="1"/>
  <c r="S498" i="10"/>
  <c r="S495" i="10" s="1"/>
  <c r="Q499" i="10"/>
  <c r="R499" i="10"/>
  <c r="U499" i="10" s="1"/>
  <c r="S499" i="10"/>
  <c r="T499" i="10"/>
  <c r="O500" i="10"/>
  <c r="P500" i="10"/>
  <c r="T500" i="10"/>
  <c r="U500" i="10"/>
  <c r="L501" i="10"/>
  <c r="O501" i="10" s="1"/>
  <c r="M501" i="10"/>
  <c r="M499" i="10" s="1"/>
  <c r="P499" i="10" s="1"/>
  <c r="N501" i="10"/>
  <c r="N499" i="10" s="1"/>
  <c r="T501" i="10"/>
  <c r="U501" i="10"/>
  <c r="I503" i="10"/>
  <c r="I492" i="10" s="1"/>
  <c r="K492" i="10" s="1"/>
  <c r="I504" i="10"/>
  <c r="I505" i="10"/>
  <c r="K505" i="10" s="1"/>
  <c r="I506" i="10"/>
  <c r="K506" i="10" s="1"/>
  <c r="I507" i="10"/>
  <c r="K507" i="10" s="1"/>
  <c r="K508" i="10"/>
  <c r="I509" i="10"/>
  <c r="K509" i="10" s="1"/>
  <c r="I512" i="10"/>
  <c r="J512" i="10"/>
  <c r="K512" i="10"/>
  <c r="L514" i="10"/>
  <c r="O514" i="10" s="1"/>
  <c r="M514" i="10"/>
  <c r="N514" i="10"/>
  <c r="P514" i="10"/>
  <c r="Q514" i="10"/>
  <c r="T514" i="10" s="1"/>
  <c r="R514" i="10"/>
  <c r="U514" i="10" s="1"/>
  <c r="S514" i="10"/>
  <c r="S513" i="10" s="1"/>
  <c r="Q515" i="10"/>
  <c r="R515" i="10"/>
  <c r="U515" i="10" s="1"/>
  <c r="S515" i="10"/>
  <c r="T515" i="10"/>
  <c r="Q516" i="10"/>
  <c r="R516" i="10"/>
  <c r="U516" i="10" s="1"/>
  <c r="S516" i="10"/>
  <c r="T516" i="10"/>
  <c r="O517" i="10"/>
  <c r="P517" i="10"/>
  <c r="T517" i="10"/>
  <c r="U517" i="10"/>
  <c r="L518" i="10"/>
  <c r="M518" i="10"/>
  <c r="M516" i="10" s="1"/>
  <c r="P516" i="10" s="1"/>
  <c r="N518" i="10"/>
  <c r="N516" i="10" s="1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L519" i="10" s="1"/>
  <c r="O519" i="10" s="1"/>
  <c r="M521" i="10"/>
  <c r="P521" i="10" s="1"/>
  <c r="N521" i="10"/>
  <c r="N519" i="10" s="1"/>
  <c r="T521" i="10"/>
  <c r="U521" i="10"/>
  <c r="K523" i="10"/>
  <c r="K524" i="10"/>
  <c r="I533" i="10"/>
  <c r="K533" i="10" s="1"/>
  <c r="J533" i="10"/>
  <c r="L535" i="10"/>
  <c r="M535" i="10"/>
  <c r="P535" i="10" s="1"/>
  <c r="N535" i="10"/>
  <c r="O535" i="10"/>
  <c r="Q535" i="10"/>
  <c r="R535" i="10"/>
  <c r="R534" i="10" s="1"/>
  <c r="U534" i="10" s="1"/>
  <c r="S535" i="10"/>
  <c r="S534" i="10" s="1"/>
  <c r="U535" i="10"/>
  <c r="Q536" i="10"/>
  <c r="T536" i="10" s="1"/>
  <c r="R536" i="10"/>
  <c r="U536" i="10" s="1"/>
  <c r="S536" i="10"/>
  <c r="Q537" i="10"/>
  <c r="T537" i="10" s="1"/>
  <c r="R537" i="10"/>
  <c r="S537" i="10"/>
  <c r="U537" i="10"/>
  <c r="O538" i="10"/>
  <c r="P538" i="10"/>
  <c r="T538" i="10"/>
  <c r="U538" i="10"/>
  <c r="L539" i="10"/>
  <c r="L537" i="10" s="1"/>
  <c r="O537" i="10" s="1"/>
  <c r="M539" i="10"/>
  <c r="N539" i="10"/>
  <c r="N537" i="10" s="1"/>
  <c r="T539" i="10"/>
  <c r="U539" i="10"/>
  <c r="Q540" i="10"/>
  <c r="R540" i="10"/>
  <c r="S540" i="10"/>
  <c r="T540" i="10"/>
  <c r="U540" i="10"/>
  <c r="O541" i="10"/>
  <c r="P541" i="10"/>
  <c r="T541" i="10"/>
  <c r="U541" i="10"/>
  <c r="L542" i="10"/>
  <c r="O542" i="10" s="1"/>
  <c r="M542" i="10"/>
  <c r="M540" i="10" s="1"/>
  <c r="P540" i="10" s="1"/>
  <c r="N542" i="10"/>
  <c r="N540" i="10" s="1"/>
  <c r="T542" i="10"/>
  <c r="U542" i="10"/>
  <c r="I554" i="10"/>
  <c r="K554" i="10" s="1"/>
  <c r="J554" i="10"/>
  <c r="L556" i="10"/>
  <c r="M556" i="10"/>
  <c r="N556" i="10"/>
  <c r="O556" i="10"/>
  <c r="P556" i="10"/>
  <c r="Q556" i="10"/>
  <c r="T556" i="10" s="1"/>
  <c r="R556" i="10"/>
  <c r="R555" i="10" s="1"/>
  <c r="U555" i="10" s="1"/>
  <c r="S556" i="10"/>
  <c r="U556" i="10"/>
  <c r="Q557" i="10"/>
  <c r="T557" i="10" s="1"/>
  <c r="R557" i="10"/>
  <c r="U557" i="10" s="1"/>
  <c r="S557" i="10"/>
  <c r="Q558" i="10"/>
  <c r="R558" i="10"/>
  <c r="U558" i="10" s="1"/>
  <c r="S558" i="10"/>
  <c r="T558" i="10"/>
  <c r="O559" i="10"/>
  <c r="P559" i="10"/>
  <c r="T559" i="10"/>
  <c r="U559" i="10"/>
  <c r="L560" i="10"/>
  <c r="L558" i="10" s="1"/>
  <c r="O558" i="10" s="1"/>
  <c r="M560" i="10"/>
  <c r="M558" i="10" s="1"/>
  <c r="P558" i="10" s="1"/>
  <c r="N560" i="10"/>
  <c r="N558" i="10" s="1"/>
  <c r="T560" i="10"/>
  <c r="U560" i="10"/>
  <c r="Q561" i="10"/>
  <c r="T561" i="10" s="1"/>
  <c r="R561" i="10"/>
  <c r="U561" i="10" s="1"/>
  <c r="S561" i="10"/>
  <c r="O562" i="10"/>
  <c r="P562" i="10"/>
  <c r="T562" i="10"/>
  <c r="U562" i="10"/>
  <c r="L563" i="10"/>
  <c r="L561" i="10" s="1"/>
  <c r="O561" i="10" s="1"/>
  <c r="M563" i="10"/>
  <c r="N563" i="10"/>
  <c r="N561" i="10" s="1"/>
  <c r="T563" i="10"/>
  <c r="U563" i="10"/>
  <c r="I575" i="10"/>
  <c r="K575" i="10" s="1"/>
  <c r="J575" i="10"/>
  <c r="L577" i="10"/>
  <c r="M577" i="10"/>
  <c r="N577" i="10"/>
  <c r="Q577" i="10"/>
  <c r="R577" i="10"/>
  <c r="S577" i="10"/>
  <c r="Q578" i="10"/>
  <c r="R578" i="10"/>
  <c r="S578" i="10"/>
  <c r="T578" i="10"/>
  <c r="U578" i="10"/>
  <c r="Q579" i="10"/>
  <c r="T579" i="10" s="1"/>
  <c r="R579" i="10"/>
  <c r="U579" i="10" s="1"/>
  <c r="S579" i="10"/>
  <c r="O580" i="10"/>
  <c r="P580" i="10"/>
  <c r="T580" i="10"/>
  <c r="U580" i="10"/>
  <c r="L581" i="10"/>
  <c r="L579" i="10" s="1"/>
  <c r="O579" i="10" s="1"/>
  <c r="M581" i="10"/>
  <c r="N581" i="10"/>
  <c r="N579" i="10" s="1"/>
  <c r="T581" i="10"/>
  <c r="U581" i="10"/>
  <c r="Q582" i="10"/>
  <c r="R582" i="10"/>
  <c r="U582" i="10" s="1"/>
  <c r="S582" i="10"/>
  <c r="T582" i="10"/>
  <c r="O583" i="10"/>
  <c r="P583" i="10"/>
  <c r="T583" i="10"/>
  <c r="U583" i="10"/>
  <c r="L584" i="10"/>
  <c r="M584" i="10"/>
  <c r="M582" i="10" s="1"/>
  <c r="P582" i="10" s="1"/>
  <c r="N584" i="10"/>
  <c r="N582" i="10" s="1"/>
  <c r="T584" i="10"/>
  <c r="U584" i="10"/>
  <c r="L600" i="10"/>
  <c r="M600" i="10"/>
  <c r="N600" i="10"/>
  <c r="Q600" i="10"/>
  <c r="R600" i="10"/>
  <c r="S600" i="10"/>
  <c r="O603" i="10"/>
  <c r="P603" i="10"/>
  <c r="T603" i="10"/>
  <c r="U603" i="10"/>
  <c r="L604" i="10"/>
  <c r="M604" i="10"/>
  <c r="N604" i="10"/>
  <c r="Q604" i="10"/>
  <c r="R604" i="10"/>
  <c r="R602" i="10" s="1"/>
  <c r="U602" i="10" s="1"/>
  <c r="S604" i="10"/>
  <c r="S602" i="10" s="1"/>
  <c r="O606" i="10"/>
  <c r="P606" i="10"/>
  <c r="T606" i="10"/>
  <c r="U606" i="10"/>
  <c r="L607" i="10"/>
  <c r="L605" i="10" s="1"/>
  <c r="O605" i="10" s="1"/>
  <c r="M607" i="10"/>
  <c r="N607" i="10"/>
  <c r="N605" i="10" s="1"/>
  <c r="Q607" i="10"/>
  <c r="R607" i="10"/>
  <c r="R605" i="10" s="1"/>
  <c r="U605" i="10" s="1"/>
  <c r="S607" i="10"/>
  <c r="S605" i="10" s="1"/>
  <c r="M616" i="10"/>
  <c r="P616" i="10" s="1"/>
  <c r="L617" i="10"/>
  <c r="M617" i="10"/>
  <c r="N617" i="10"/>
  <c r="P617" i="10"/>
  <c r="Q617" i="10"/>
  <c r="R617" i="10"/>
  <c r="S617" i="10"/>
  <c r="T617" i="10"/>
  <c r="L618" i="10"/>
  <c r="O618" i="10" s="1"/>
  <c r="M618" i="10"/>
  <c r="P618" i="10" s="1"/>
  <c r="N618" i="10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Q619" i="10" s="1"/>
  <c r="R621" i="10"/>
  <c r="S621" i="10"/>
  <c r="S619" i="10" s="1"/>
  <c r="L622" i="10"/>
  <c r="M622" i="10"/>
  <c r="N622" i="10"/>
  <c r="O622" i="10"/>
  <c r="P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I615" i="10" s="1"/>
  <c r="K615" i="10" s="1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O643" i="10" s="1"/>
  <c r="M643" i="10"/>
  <c r="N643" i="10"/>
  <c r="Q643" i="10"/>
  <c r="R643" i="10"/>
  <c r="U643" i="10" s="1"/>
  <c r="S643" i="10"/>
  <c r="T643" i="10"/>
  <c r="L644" i="10"/>
  <c r="O644" i="10" s="1"/>
  <c r="M644" i="10"/>
  <c r="N644" i="10"/>
  <c r="P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5" i="10" s="1"/>
  <c r="T645" i="10" s="1"/>
  <c r="R647" i="10"/>
  <c r="R645" i="10" s="1"/>
  <c r="U645" i="10" s="1"/>
  <c r="S647" i="10"/>
  <c r="L648" i="10"/>
  <c r="M648" i="10"/>
  <c r="N648" i="10"/>
  <c r="O648" i="10"/>
  <c r="P648" i="10"/>
  <c r="Q648" i="10"/>
  <c r="T648" i="10" s="1"/>
  <c r="R648" i="10"/>
  <c r="S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0" i="10"/>
  <c r="O690" i="10" s="1"/>
  <c r="L691" i="10"/>
  <c r="O691" i="10" s="1"/>
  <c r="M691" i="10"/>
  <c r="N691" i="10"/>
  <c r="N690" i="10" s="1"/>
  <c r="Q691" i="10"/>
  <c r="R691" i="10"/>
  <c r="S691" i="10"/>
  <c r="U691" i="10"/>
  <c r="L692" i="10"/>
  <c r="M692" i="10"/>
  <c r="P692" i="10" s="1"/>
  <c r="N692" i="10"/>
  <c r="O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T695" i="10" s="1"/>
  <c r="R695" i="10"/>
  <c r="R693" i="10" s="1"/>
  <c r="S695" i="10"/>
  <c r="L696" i="10"/>
  <c r="M696" i="10"/>
  <c r="N696" i="10"/>
  <c r="O696" i="10"/>
  <c r="P696" i="10"/>
  <c r="Q696" i="10"/>
  <c r="R696" i="10"/>
  <c r="S696" i="10"/>
  <c r="T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K705" i="10" s="1"/>
  <c r="J705" i="10"/>
  <c r="J706" i="10"/>
  <c r="K706" i="10"/>
  <c r="I707" i="10"/>
  <c r="J707" i="10"/>
  <c r="J689" i="10" s="1"/>
  <c r="J708" i="10"/>
  <c r="K708" i="10"/>
  <c r="I709" i="10"/>
  <c r="K709" i="10" s="1"/>
  <c r="J709" i="10"/>
  <c r="J710" i="10"/>
  <c r="K710" i="10"/>
  <c r="J712" i="10"/>
  <c r="K712" i="10"/>
  <c r="L715" i="10"/>
  <c r="O715" i="10" s="1"/>
  <c r="M715" i="10"/>
  <c r="N715" i="10"/>
  <c r="Q715" i="10"/>
  <c r="R715" i="10"/>
  <c r="U715" i="10" s="1"/>
  <c r="S715" i="10"/>
  <c r="T715" i="10"/>
  <c r="L716" i="10"/>
  <c r="M716" i="10"/>
  <c r="P716" i="10" s="1"/>
  <c r="N716" i="10"/>
  <c r="O716" i="10"/>
  <c r="Q716" i="10"/>
  <c r="R716" i="10"/>
  <c r="S716" i="10"/>
  <c r="T716" i="10"/>
  <c r="U716" i="10"/>
  <c r="L717" i="10"/>
  <c r="O717" i="10" s="1"/>
  <c r="M717" i="10"/>
  <c r="N717" i="10"/>
  <c r="P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J726" i="10"/>
  <c r="I727" i="10"/>
  <c r="K727" i="10" s="1"/>
  <c r="J727" i="10"/>
  <c r="L729" i="10"/>
  <c r="O729" i="10" s="1"/>
  <c r="M729" i="10"/>
  <c r="N729" i="10"/>
  <c r="Q729" i="10"/>
  <c r="R729" i="10"/>
  <c r="U729" i="10" s="1"/>
  <c r="S729" i="10"/>
  <c r="L730" i="10"/>
  <c r="O730" i="10" s="1"/>
  <c r="M730" i="10"/>
  <c r="N730" i="10"/>
  <c r="P730" i="10"/>
  <c r="L731" i="10"/>
  <c r="M731" i="10"/>
  <c r="P731" i="10" s="1"/>
  <c r="N731" i="10"/>
  <c r="O731" i="10"/>
  <c r="O732" i="10"/>
  <c r="P732" i="10"/>
  <c r="T732" i="10"/>
  <c r="U732" i="10"/>
  <c r="O733" i="10"/>
  <c r="P733" i="10"/>
  <c r="Q733" i="10"/>
  <c r="Q730" i="10" s="1"/>
  <c r="R733" i="10"/>
  <c r="R731" i="10" s="1"/>
  <c r="S733" i="10"/>
  <c r="S731" i="10" s="1"/>
  <c r="L734" i="10"/>
  <c r="O734" i="10" s="1"/>
  <c r="M734" i="10"/>
  <c r="P734" i="10" s="1"/>
  <c r="N734" i="10"/>
  <c r="Q734" i="10"/>
  <c r="R734" i="10"/>
  <c r="U734" i="10" s="1"/>
  <c r="S734" i="10"/>
  <c r="T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P761" i="10" s="1"/>
  <c r="N761" i="10"/>
  <c r="Q761" i="10"/>
  <c r="R761" i="10"/>
  <c r="S761" i="10"/>
  <c r="T761" i="10"/>
  <c r="L762" i="10"/>
  <c r="M762" i="10"/>
  <c r="N762" i="10"/>
  <c r="N760" i="10" s="1"/>
  <c r="O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2" i="10" s="1"/>
  <c r="R765" i="10"/>
  <c r="S765" i="10"/>
  <c r="S762" i="10" s="1"/>
  <c r="L766" i="10"/>
  <c r="M766" i="10"/>
  <c r="N766" i="10"/>
  <c r="O766" i="10"/>
  <c r="P766" i="10"/>
  <c r="Q766" i="10"/>
  <c r="T766" i="10" s="1"/>
  <c r="R766" i="10"/>
  <c r="S766" i="10"/>
  <c r="U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59" i="10" s="1"/>
  <c r="K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M22" i="9"/>
  <c r="N22" i="9"/>
  <c r="N19" i="9" s="1"/>
  <c r="O22" i="9"/>
  <c r="Q22" i="9"/>
  <c r="T22" i="9" s="1"/>
  <c r="R22" i="9"/>
  <c r="R19" i="9" s="1"/>
  <c r="S22" i="9"/>
  <c r="L25" i="9"/>
  <c r="M25" i="9"/>
  <c r="N25" i="9"/>
  <c r="O25" i="9"/>
  <c r="Q25" i="9"/>
  <c r="T25" i="9" s="1"/>
  <c r="R25" i="9"/>
  <c r="S25" i="9"/>
  <c r="U25" i="9"/>
  <c r="R44" i="9"/>
  <c r="U44" i="9" s="1"/>
  <c r="L45" i="9"/>
  <c r="O45" i="9" s="1"/>
  <c r="M45" i="9"/>
  <c r="N45" i="9"/>
  <c r="P45" i="9"/>
  <c r="Q45" i="9"/>
  <c r="R45" i="9"/>
  <c r="U45" i="9" s="1"/>
  <c r="S45" i="9"/>
  <c r="T45" i="9"/>
  <c r="Q46" i="9"/>
  <c r="R46" i="9"/>
  <c r="U46" i="9" s="1"/>
  <c r="S46" i="9"/>
  <c r="S44" i="9" s="1"/>
  <c r="T46" i="9"/>
  <c r="Q47" i="9"/>
  <c r="R47" i="9"/>
  <c r="U47" i="9" s="1"/>
  <c r="S47" i="9"/>
  <c r="T47" i="9"/>
  <c r="O48" i="9"/>
  <c r="P48" i="9"/>
  <c r="T48" i="9"/>
  <c r="U48" i="9"/>
  <c r="L49" i="9"/>
  <c r="M49" i="9"/>
  <c r="M47" i="9" s="1"/>
  <c r="N49" i="9"/>
  <c r="N47" i="9" s="1"/>
  <c r="T49" i="9"/>
  <c r="U49" i="9"/>
  <c r="Q50" i="9"/>
  <c r="T50" i="9" s="1"/>
  <c r="R50" i="9"/>
  <c r="S50" i="9"/>
  <c r="U50" i="9"/>
  <c r="O51" i="9"/>
  <c r="P51" i="9"/>
  <c r="T51" i="9"/>
  <c r="U51" i="9"/>
  <c r="L52" i="9"/>
  <c r="L50" i="9" s="1"/>
  <c r="O50" i="9" s="1"/>
  <c r="M52" i="9"/>
  <c r="N52" i="9"/>
  <c r="T52" i="9"/>
  <c r="U52" i="9"/>
  <c r="L60" i="9"/>
  <c r="O60" i="9" s="1"/>
  <c r="M60" i="9"/>
  <c r="N60" i="9"/>
  <c r="P60" i="9"/>
  <c r="Q60" i="9"/>
  <c r="R60" i="9"/>
  <c r="U60" i="9" s="1"/>
  <c r="S60" i="9"/>
  <c r="T60" i="9"/>
  <c r="Q61" i="9"/>
  <c r="T61" i="9" s="1"/>
  <c r="R61" i="9"/>
  <c r="U61" i="9" s="1"/>
  <c r="S61" i="9"/>
  <c r="Q62" i="9"/>
  <c r="T62" i="9" s="1"/>
  <c r="R62" i="9"/>
  <c r="U62" i="9" s="1"/>
  <c r="S62" i="9"/>
  <c r="O63" i="9"/>
  <c r="P63" i="9"/>
  <c r="T63" i="9"/>
  <c r="U63" i="9"/>
  <c r="L64" i="9"/>
  <c r="M64" i="9"/>
  <c r="M62" i="9" s="1"/>
  <c r="N64" i="9"/>
  <c r="T64" i="9"/>
  <c r="U64" i="9"/>
  <c r="Q65" i="9"/>
  <c r="T65" i="9" s="1"/>
  <c r="R65" i="9"/>
  <c r="U65" i="9" s="1"/>
  <c r="S65" i="9"/>
  <c r="O66" i="9"/>
  <c r="P66" i="9"/>
  <c r="T66" i="9"/>
  <c r="U66" i="9"/>
  <c r="L67" i="9"/>
  <c r="O67" i="9" s="1"/>
  <c r="M67" i="9"/>
  <c r="N67" i="9"/>
  <c r="N65" i="9" s="1"/>
  <c r="T67" i="9"/>
  <c r="U67" i="9"/>
  <c r="L73" i="9"/>
  <c r="O73" i="9" s="1"/>
  <c r="M73" i="9"/>
  <c r="P73" i="9" s="1"/>
  <c r="N73" i="9"/>
  <c r="Q73" i="9"/>
  <c r="R73" i="9"/>
  <c r="U73" i="9" s="1"/>
  <c r="S73" i="9"/>
  <c r="T73" i="9"/>
  <c r="O76" i="9"/>
  <c r="P76" i="9"/>
  <c r="T76" i="9"/>
  <c r="U76" i="9"/>
  <c r="L77" i="9"/>
  <c r="M77" i="9"/>
  <c r="M75" i="9" s="1"/>
  <c r="N77" i="9"/>
  <c r="N75" i="9" s="1"/>
  <c r="Q77" i="9"/>
  <c r="R77" i="9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T80" i="9" s="1"/>
  <c r="R80" i="9"/>
  <c r="R78" i="9" s="1"/>
  <c r="U78" i="9" s="1"/>
  <c r="S80" i="9"/>
  <c r="S78" i="9" s="1"/>
  <c r="J82" i="9"/>
  <c r="J70" i="9" s="1"/>
  <c r="J83" i="9"/>
  <c r="J71" i="9" s="1"/>
  <c r="I84" i="9"/>
  <c r="K84" i="9" s="1"/>
  <c r="I85" i="9"/>
  <c r="K85" i="9" s="1"/>
  <c r="I86" i="9"/>
  <c r="K86" i="9" s="1"/>
  <c r="I87" i="9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T95" i="9" s="1"/>
  <c r="R95" i="9"/>
  <c r="S95" i="9"/>
  <c r="O98" i="9"/>
  <c r="P98" i="9"/>
  <c r="T98" i="9"/>
  <c r="U98" i="9"/>
  <c r="L99" i="9"/>
  <c r="M99" i="9"/>
  <c r="N99" i="9"/>
  <c r="Q99" i="9"/>
  <c r="Q97" i="9" s="1"/>
  <c r="R99" i="9"/>
  <c r="S99" i="9"/>
  <c r="S96" i="9" s="1"/>
  <c r="S94" i="9" s="1"/>
  <c r="Q100" i="9"/>
  <c r="T100" i="9" s="1"/>
  <c r="R100" i="9"/>
  <c r="U100" i="9" s="1"/>
  <c r="S100" i="9"/>
  <c r="O101" i="9"/>
  <c r="P101" i="9"/>
  <c r="T101" i="9"/>
  <c r="U101" i="9"/>
  <c r="L102" i="9"/>
  <c r="O102" i="9" s="1"/>
  <c r="M102" i="9"/>
  <c r="P102" i="9" s="1"/>
  <c r="N102" i="9"/>
  <c r="N100" i="9" s="1"/>
  <c r="T102" i="9"/>
  <c r="U102" i="9"/>
  <c r="I108" i="9"/>
  <c r="I92" i="9" s="1"/>
  <c r="I109" i="9"/>
  <c r="I93" i="9" s="1"/>
  <c r="I113" i="9"/>
  <c r="K113" i="9" s="1"/>
  <c r="I114" i="9"/>
  <c r="K114" i="9" s="1"/>
  <c r="J116" i="9"/>
  <c r="L118" i="9"/>
  <c r="O118" i="9" s="1"/>
  <c r="M118" i="9"/>
  <c r="N118" i="9"/>
  <c r="P118" i="9"/>
  <c r="Q118" i="9"/>
  <c r="T118" i="9" s="1"/>
  <c r="R118" i="9"/>
  <c r="U118" i="9" s="1"/>
  <c r="S118" i="9"/>
  <c r="O121" i="9"/>
  <c r="P121" i="9"/>
  <c r="T121" i="9"/>
  <c r="U121" i="9"/>
  <c r="L122" i="9"/>
  <c r="M122" i="9"/>
  <c r="P122" i="9" s="1"/>
  <c r="N122" i="9"/>
  <c r="Q122" i="9"/>
  <c r="R122" i="9"/>
  <c r="S122" i="9"/>
  <c r="O124" i="9"/>
  <c r="P124" i="9"/>
  <c r="T124" i="9"/>
  <c r="U124" i="9"/>
  <c r="L125" i="9"/>
  <c r="M125" i="9"/>
  <c r="M123" i="9" s="1"/>
  <c r="P123" i="9" s="1"/>
  <c r="N125" i="9"/>
  <c r="N123" i="9" s="1"/>
  <c r="Q125" i="9"/>
  <c r="Q123" i="9" s="1"/>
  <c r="R125" i="9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N140" i="9"/>
  <c r="Q140" i="9"/>
  <c r="R140" i="9"/>
  <c r="U140" i="9" s="1"/>
  <c r="S140" i="9"/>
  <c r="O143" i="9"/>
  <c r="P143" i="9"/>
  <c r="T143" i="9"/>
  <c r="U143" i="9"/>
  <c r="L144" i="9"/>
  <c r="M144" i="9"/>
  <c r="N144" i="9"/>
  <c r="Q144" i="9"/>
  <c r="R144" i="9"/>
  <c r="R142" i="9" s="1"/>
  <c r="S144" i="9"/>
  <c r="O146" i="9"/>
  <c r="P146" i="9"/>
  <c r="T146" i="9"/>
  <c r="U146" i="9"/>
  <c r="L147" i="9"/>
  <c r="O147" i="9" s="1"/>
  <c r="M147" i="9"/>
  <c r="M145" i="9" s="1"/>
  <c r="P145" i="9" s="1"/>
  <c r="N147" i="9"/>
  <c r="N145" i="9" s="1"/>
  <c r="Q147" i="9"/>
  <c r="R147" i="9"/>
  <c r="R145" i="9" s="1"/>
  <c r="S147" i="9"/>
  <c r="I150" i="9"/>
  <c r="K150" i="9" s="1"/>
  <c r="I151" i="9"/>
  <c r="K151" i="9" s="1"/>
  <c r="I152" i="9"/>
  <c r="I137" i="9" s="1"/>
  <c r="K137" i="9" s="1"/>
  <c r="I153" i="9"/>
  <c r="K153" i="9" s="1"/>
  <c r="I154" i="9"/>
  <c r="J156" i="9"/>
  <c r="L158" i="9"/>
  <c r="M158" i="9"/>
  <c r="N158" i="9"/>
  <c r="Q158" i="9"/>
  <c r="T158" i="9" s="1"/>
  <c r="R158" i="9"/>
  <c r="S158" i="9"/>
  <c r="O161" i="9"/>
  <c r="P161" i="9"/>
  <c r="T161" i="9"/>
  <c r="U161" i="9"/>
  <c r="L162" i="9"/>
  <c r="L160" i="9" s="1"/>
  <c r="O160" i="9" s="1"/>
  <c r="M162" i="9"/>
  <c r="P162" i="9" s="1"/>
  <c r="N162" i="9"/>
  <c r="Q162" i="9"/>
  <c r="Q159" i="9" s="1"/>
  <c r="T159" i="9" s="1"/>
  <c r="R162" i="9"/>
  <c r="R160" i="9" s="1"/>
  <c r="U160" i="9" s="1"/>
  <c r="S162" i="9"/>
  <c r="S159" i="9" s="1"/>
  <c r="Q163" i="9"/>
  <c r="T163" i="9" s="1"/>
  <c r="R163" i="9"/>
  <c r="U163" i="9" s="1"/>
  <c r="S163" i="9"/>
  <c r="O164" i="9"/>
  <c r="P164" i="9"/>
  <c r="T164" i="9"/>
  <c r="U164" i="9"/>
  <c r="L165" i="9"/>
  <c r="O165" i="9" s="1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O174" i="9" s="1"/>
  <c r="M174" i="9"/>
  <c r="N174" i="9"/>
  <c r="Q174" i="9"/>
  <c r="R174" i="9"/>
  <c r="U174" i="9" s="1"/>
  <c r="S174" i="9"/>
  <c r="O177" i="9"/>
  <c r="P177" i="9"/>
  <c r="T177" i="9"/>
  <c r="U177" i="9"/>
  <c r="L178" i="9"/>
  <c r="M178" i="9"/>
  <c r="N178" i="9"/>
  <c r="N176" i="9" s="1"/>
  <c r="Q178" i="9"/>
  <c r="Q175" i="9" s="1"/>
  <c r="T175" i="9" s="1"/>
  <c r="R178" i="9"/>
  <c r="R176" i="9" s="1"/>
  <c r="U176" i="9" s="1"/>
  <c r="S178" i="9"/>
  <c r="S175" i="9" s="1"/>
  <c r="Q179" i="9"/>
  <c r="R179" i="9"/>
  <c r="U179" i="9" s="1"/>
  <c r="S179" i="9"/>
  <c r="T179" i="9"/>
  <c r="O180" i="9"/>
  <c r="P180" i="9"/>
  <c r="T180" i="9"/>
  <c r="U180" i="9"/>
  <c r="L181" i="9"/>
  <c r="M181" i="9"/>
  <c r="M179" i="9" s="1"/>
  <c r="P179" i="9" s="1"/>
  <c r="N181" i="9"/>
  <c r="T181" i="9"/>
  <c r="U181" i="9"/>
  <c r="I183" i="9"/>
  <c r="I172" i="9" s="1"/>
  <c r="K172" i="9" s="1"/>
  <c r="K184" i="9"/>
  <c r="L187" i="9"/>
  <c r="M187" i="9"/>
  <c r="N187" i="9"/>
  <c r="O187" i="9"/>
  <c r="P187" i="9"/>
  <c r="Q187" i="9"/>
  <c r="R187" i="9"/>
  <c r="S187" i="9"/>
  <c r="U187" i="9"/>
  <c r="O190" i="9"/>
  <c r="P190" i="9"/>
  <c r="T190" i="9"/>
  <c r="U190" i="9"/>
  <c r="L191" i="9"/>
  <c r="M191" i="9"/>
  <c r="N191" i="9"/>
  <c r="Q191" i="9"/>
  <c r="Q189" i="9" s="1"/>
  <c r="R191" i="9"/>
  <c r="S191" i="9"/>
  <c r="S189" i="9" s="1"/>
  <c r="O193" i="9"/>
  <c r="P193" i="9"/>
  <c r="T193" i="9"/>
  <c r="U193" i="9"/>
  <c r="L194" i="9"/>
  <c r="M194" i="9"/>
  <c r="N194" i="9"/>
  <c r="N192" i="9" s="1"/>
  <c r="Q194" i="9"/>
  <c r="Q192" i="9" s="1"/>
  <c r="T192" i="9" s="1"/>
  <c r="R194" i="9"/>
  <c r="S194" i="9"/>
  <c r="S192" i="9" s="1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I213" i="9" s="1"/>
  <c r="K213" i="9" s="1"/>
  <c r="J221" i="9"/>
  <c r="N222" i="9"/>
  <c r="P222" i="9"/>
  <c r="L223" i="9"/>
  <c r="L224" i="9"/>
  <c r="L225" i="9"/>
  <c r="I228" i="9"/>
  <c r="K228" i="9" s="1"/>
  <c r="I229" i="9"/>
  <c r="K229" i="9" s="1"/>
  <c r="I230" i="9"/>
  <c r="N233" i="9"/>
  <c r="N234" i="9"/>
  <c r="N235" i="9"/>
  <c r="N236" i="9"/>
  <c r="J238" i="9"/>
  <c r="I240" i="9"/>
  <c r="K240" i="9" s="1"/>
  <c r="J240" i="9"/>
  <c r="I241" i="9"/>
  <c r="J241" i="9"/>
  <c r="K241" i="9"/>
  <c r="J242" i="9"/>
  <c r="N243" i="9"/>
  <c r="P243" i="9"/>
  <c r="L244" i="9"/>
  <c r="L245" i="9"/>
  <c r="L246" i="9"/>
  <c r="L247" i="9"/>
  <c r="I249" i="9"/>
  <c r="K249" i="9" s="1"/>
  <c r="K251" i="9"/>
  <c r="K252" i="9"/>
  <c r="J253" i="9"/>
  <c r="J231" i="9" s="1"/>
  <c r="J185" i="9" s="1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O267" i="9"/>
  <c r="P267" i="9"/>
  <c r="Q267" i="9"/>
  <c r="R267" i="9"/>
  <c r="S267" i="9"/>
  <c r="U267" i="9"/>
  <c r="O270" i="9"/>
  <c r="P270" i="9"/>
  <c r="T270" i="9"/>
  <c r="U270" i="9"/>
  <c r="L271" i="9"/>
  <c r="M271" i="9"/>
  <c r="N271" i="9"/>
  <c r="Q271" i="9"/>
  <c r="Q268" i="9" s="1"/>
  <c r="R271" i="9"/>
  <c r="S271" i="9"/>
  <c r="S268" i="9" s="1"/>
  <c r="S266" i="9" s="1"/>
  <c r="Q272" i="9"/>
  <c r="R272" i="9"/>
  <c r="U272" i="9" s="1"/>
  <c r="S272" i="9"/>
  <c r="T272" i="9"/>
  <c r="O273" i="9"/>
  <c r="P273" i="9"/>
  <c r="T273" i="9"/>
  <c r="U273" i="9"/>
  <c r="L274" i="9"/>
  <c r="M274" i="9"/>
  <c r="P274" i="9" s="1"/>
  <c r="N274" i="9"/>
  <c r="N272" i="9" s="1"/>
  <c r="T274" i="9"/>
  <c r="U274" i="9"/>
  <c r="I276" i="9"/>
  <c r="K276" i="9" s="1"/>
  <c r="J281" i="9"/>
  <c r="L283" i="9"/>
  <c r="M283" i="9"/>
  <c r="P283" i="9" s="1"/>
  <c r="N283" i="9"/>
  <c r="Q283" i="9"/>
  <c r="R283" i="9"/>
  <c r="S283" i="9"/>
  <c r="Q284" i="9"/>
  <c r="R284" i="9"/>
  <c r="U284" i="9" s="1"/>
  <c r="S284" i="9"/>
  <c r="S282" i="9" s="1"/>
  <c r="T284" i="9"/>
  <c r="Q285" i="9"/>
  <c r="R285" i="9"/>
  <c r="S285" i="9"/>
  <c r="T285" i="9"/>
  <c r="U285" i="9"/>
  <c r="O286" i="9"/>
  <c r="P286" i="9"/>
  <c r="T286" i="9"/>
  <c r="U286" i="9"/>
  <c r="L287" i="9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M288" i="9" s="1"/>
  <c r="P288" i="9" s="1"/>
  <c r="N290" i="9"/>
  <c r="N288" i="9" s="1"/>
  <c r="T290" i="9"/>
  <c r="U290" i="9"/>
  <c r="I292" i="9"/>
  <c r="K292" i="9" s="1"/>
  <c r="I293" i="9"/>
  <c r="I280" i="9" s="1"/>
  <c r="K280" i="9" s="1"/>
  <c r="J293" i="9"/>
  <c r="J280" i="9" s="1"/>
  <c r="I295" i="9"/>
  <c r="K295" i="9" s="1"/>
  <c r="I296" i="9"/>
  <c r="K296" i="9" s="1"/>
  <c r="J302" i="9"/>
  <c r="L304" i="9"/>
  <c r="M304" i="9"/>
  <c r="N304" i="9"/>
  <c r="P304" i="9"/>
  <c r="Q304" i="9"/>
  <c r="R304" i="9"/>
  <c r="S304" i="9"/>
  <c r="O307" i="9"/>
  <c r="P307" i="9"/>
  <c r="T307" i="9"/>
  <c r="U307" i="9"/>
  <c r="L308" i="9"/>
  <c r="M308" i="9"/>
  <c r="N308" i="9"/>
  <c r="Q308" i="9"/>
  <c r="Q306" i="9" s="1"/>
  <c r="R308" i="9"/>
  <c r="S308" i="9"/>
  <c r="S306" i="9" s="1"/>
  <c r="Q309" i="9"/>
  <c r="T309" i="9" s="1"/>
  <c r="R309" i="9"/>
  <c r="S309" i="9"/>
  <c r="U309" i="9"/>
  <c r="O310" i="9"/>
  <c r="P310" i="9"/>
  <c r="T310" i="9"/>
  <c r="U310" i="9"/>
  <c r="L311" i="9"/>
  <c r="M311" i="9"/>
  <c r="N311" i="9"/>
  <c r="N309" i="9" s="1"/>
  <c r="T311" i="9"/>
  <c r="U311" i="9"/>
  <c r="I314" i="9"/>
  <c r="K314" i="9" s="1"/>
  <c r="J319" i="9"/>
  <c r="S320" i="9"/>
  <c r="L321" i="9"/>
  <c r="O321" i="9" s="1"/>
  <c r="M321" i="9"/>
  <c r="N321" i="9"/>
  <c r="P321" i="9"/>
  <c r="Q321" i="9"/>
  <c r="T321" i="9" s="1"/>
  <c r="R321" i="9"/>
  <c r="U321" i="9" s="1"/>
  <c r="S321" i="9"/>
  <c r="Q322" i="9"/>
  <c r="R322" i="9"/>
  <c r="U322" i="9" s="1"/>
  <c r="S322" i="9"/>
  <c r="Q323" i="9"/>
  <c r="T323" i="9" s="1"/>
  <c r="R323" i="9"/>
  <c r="U323" i="9" s="1"/>
  <c r="S323" i="9"/>
  <c r="O324" i="9"/>
  <c r="P324" i="9"/>
  <c r="T324" i="9"/>
  <c r="U324" i="9"/>
  <c r="L325" i="9"/>
  <c r="O325" i="9" s="1"/>
  <c r="M325" i="9"/>
  <c r="M323" i="9" s="1"/>
  <c r="P323" i="9" s="1"/>
  <c r="N325" i="9"/>
  <c r="T325" i="9"/>
  <c r="U325" i="9"/>
  <c r="Q326" i="9"/>
  <c r="T326" i="9" s="1"/>
  <c r="R326" i="9"/>
  <c r="S326" i="9"/>
  <c r="U326" i="9"/>
  <c r="O327" i="9"/>
  <c r="P327" i="9"/>
  <c r="T327" i="9"/>
  <c r="U327" i="9"/>
  <c r="L328" i="9"/>
  <c r="L326" i="9" s="1"/>
  <c r="O326" i="9" s="1"/>
  <c r="M328" i="9"/>
  <c r="N328" i="9"/>
  <c r="N326" i="9" s="1"/>
  <c r="T328" i="9"/>
  <c r="U328" i="9"/>
  <c r="I330" i="9"/>
  <c r="I319" i="9" s="1"/>
  <c r="K319" i="9" s="1"/>
  <c r="L334" i="9"/>
  <c r="O334" i="9" s="1"/>
  <c r="M334" i="9"/>
  <c r="N334" i="9"/>
  <c r="P334" i="9"/>
  <c r="Q334" i="9"/>
  <c r="R334" i="9"/>
  <c r="U334" i="9" s="1"/>
  <c r="S334" i="9"/>
  <c r="Q335" i="9"/>
  <c r="T335" i="9" s="1"/>
  <c r="R335" i="9"/>
  <c r="S335" i="9"/>
  <c r="S333" i="9" s="1"/>
  <c r="Q336" i="9"/>
  <c r="R336" i="9"/>
  <c r="U336" i="9" s="1"/>
  <c r="S336" i="9"/>
  <c r="T336" i="9"/>
  <c r="O337" i="9"/>
  <c r="P337" i="9"/>
  <c r="T337" i="9"/>
  <c r="U337" i="9"/>
  <c r="L338" i="9"/>
  <c r="M338" i="9"/>
  <c r="N338" i="9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L339" i="9" s="1"/>
  <c r="O339" i="9" s="1"/>
  <c r="M341" i="9"/>
  <c r="M339" i="9" s="1"/>
  <c r="P339" i="9" s="1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D354" i="9"/>
  <c r="L357" i="9"/>
  <c r="O357" i="9" s="1"/>
  <c r="M357" i="9"/>
  <c r="N357" i="9"/>
  <c r="Q357" i="9"/>
  <c r="Q356" i="9" s="1"/>
  <c r="T356" i="9" s="1"/>
  <c r="R357" i="9"/>
  <c r="U357" i="9" s="1"/>
  <c r="S357" i="9"/>
  <c r="T357" i="9"/>
  <c r="Q358" i="9"/>
  <c r="T358" i="9" s="1"/>
  <c r="R358" i="9"/>
  <c r="S358" i="9"/>
  <c r="U358" i="9"/>
  <c r="Q359" i="9"/>
  <c r="T359" i="9" s="1"/>
  <c r="R359" i="9"/>
  <c r="U359" i="9" s="1"/>
  <c r="S359" i="9"/>
  <c r="O360" i="9"/>
  <c r="P360" i="9"/>
  <c r="T360" i="9"/>
  <c r="U360" i="9"/>
  <c r="L361" i="9"/>
  <c r="L359" i="9" s="1"/>
  <c r="M361" i="9"/>
  <c r="M359" i="9" s="1"/>
  <c r="N361" i="9"/>
  <c r="T361" i="9"/>
  <c r="U361" i="9"/>
  <c r="Q362" i="9"/>
  <c r="R362" i="9"/>
  <c r="S362" i="9"/>
  <c r="T362" i="9"/>
  <c r="U362" i="9"/>
  <c r="O363" i="9"/>
  <c r="P363" i="9"/>
  <c r="T363" i="9"/>
  <c r="U363" i="9"/>
  <c r="L364" i="9"/>
  <c r="M364" i="9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J374" i="9"/>
  <c r="L376" i="9"/>
  <c r="M376" i="9"/>
  <c r="P376" i="9" s="1"/>
  <c r="N376" i="9"/>
  <c r="O376" i="9"/>
  <c r="Q376" i="9"/>
  <c r="R376" i="9"/>
  <c r="S376" i="9"/>
  <c r="U376" i="9"/>
  <c r="O379" i="9"/>
  <c r="P379" i="9"/>
  <c r="T379" i="9"/>
  <c r="U379" i="9"/>
  <c r="L380" i="9"/>
  <c r="O380" i="9" s="1"/>
  <c r="M380" i="9"/>
  <c r="P380" i="9" s="1"/>
  <c r="N380" i="9"/>
  <c r="Q380" i="9"/>
  <c r="R380" i="9"/>
  <c r="U380" i="9" s="1"/>
  <c r="S380" i="9"/>
  <c r="S378" i="9" s="1"/>
  <c r="Q381" i="9"/>
  <c r="R381" i="9"/>
  <c r="U381" i="9" s="1"/>
  <c r="S381" i="9"/>
  <c r="T381" i="9"/>
  <c r="O382" i="9"/>
  <c r="P382" i="9"/>
  <c r="T382" i="9"/>
  <c r="U382" i="9"/>
  <c r="L383" i="9"/>
  <c r="M383" i="9"/>
  <c r="P383" i="9" s="1"/>
  <c r="N383" i="9"/>
  <c r="N381" i="9" s="1"/>
  <c r="T383" i="9"/>
  <c r="U383" i="9"/>
  <c r="I385" i="9"/>
  <c r="I386" i="9"/>
  <c r="K386" i="9" s="1"/>
  <c r="K387" i="9"/>
  <c r="K388" i="9"/>
  <c r="I391" i="9"/>
  <c r="K391" i="9" s="1"/>
  <c r="J391" i="9"/>
  <c r="L393" i="9"/>
  <c r="M393" i="9"/>
  <c r="P393" i="9" s="1"/>
  <c r="N393" i="9"/>
  <c r="N392" i="9" s="1"/>
  <c r="Q393" i="9"/>
  <c r="R393" i="9"/>
  <c r="S393" i="9"/>
  <c r="L394" i="9"/>
  <c r="O394" i="9" s="1"/>
  <c r="M394" i="9"/>
  <c r="M392" i="9" s="1"/>
  <c r="P392" i="9" s="1"/>
  <c r="N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Q395" i="9" s="1"/>
  <c r="T395" i="9" s="1"/>
  <c r="R397" i="9"/>
  <c r="R395" i="9" s="1"/>
  <c r="U395" i="9" s="1"/>
  <c r="S397" i="9"/>
  <c r="S394" i="9" s="1"/>
  <c r="S392" i="9" s="1"/>
  <c r="L398" i="9"/>
  <c r="M398" i="9"/>
  <c r="N398" i="9"/>
  <c r="O398" i="9"/>
  <c r="P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N414" i="9"/>
  <c r="P414" i="9"/>
  <c r="Q414" i="9"/>
  <c r="R414" i="9"/>
  <c r="S414" i="9"/>
  <c r="O417" i="9"/>
  <c r="P417" i="9"/>
  <c r="T417" i="9"/>
  <c r="U417" i="9"/>
  <c r="L418" i="9"/>
  <c r="M418" i="9"/>
  <c r="N418" i="9"/>
  <c r="N416" i="9" s="1"/>
  <c r="Q418" i="9"/>
  <c r="Q416" i="9" s="1"/>
  <c r="R418" i="9"/>
  <c r="R416" i="9" s="1"/>
  <c r="S418" i="9"/>
  <c r="Q419" i="9"/>
  <c r="R419" i="9"/>
  <c r="U419" i="9" s="1"/>
  <c r="S419" i="9"/>
  <c r="T419" i="9"/>
  <c r="O420" i="9"/>
  <c r="P420" i="9"/>
  <c r="T420" i="9"/>
  <c r="U420" i="9"/>
  <c r="L421" i="9"/>
  <c r="O421" i="9" s="1"/>
  <c r="M421" i="9"/>
  <c r="P421" i="9" s="1"/>
  <c r="N421" i="9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K423" i="9" s="1"/>
  <c r="I441" i="9"/>
  <c r="K441" i="9" s="1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60" i="9"/>
  <c r="J458" i="9" s="1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N494" i="9"/>
  <c r="Q494" i="9"/>
  <c r="R494" i="9"/>
  <c r="S494" i="9"/>
  <c r="T494" i="9"/>
  <c r="O497" i="9"/>
  <c r="P497" i="9"/>
  <c r="T497" i="9"/>
  <c r="U497" i="9"/>
  <c r="L498" i="9"/>
  <c r="L496" i="9" s="1"/>
  <c r="O496" i="9" s="1"/>
  <c r="M498" i="9"/>
  <c r="N498" i="9"/>
  <c r="N496" i="9" s="1"/>
  <c r="Q498" i="9"/>
  <c r="Q495" i="9" s="1"/>
  <c r="R498" i="9"/>
  <c r="S498" i="9"/>
  <c r="S495" i="9" s="1"/>
  <c r="S493" i="9" s="1"/>
  <c r="Q499" i="9"/>
  <c r="R499" i="9"/>
  <c r="U499" i="9" s="1"/>
  <c r="S499" i="9"/>
  <c r="T499" i="9"/>
  <c r="O500" i="9"/>
  <c r="P500" i="9"/>
  <c r="T500" i="9"/>
  <c r="U500" i="9"/>
  <c r="L501" i="9"/>
  <c r="O501" i="9" s="1"/>
  <c r="M501" i="9"/>
  <c r="M499" i="9" s="1"/>
  <c r="P499" i="9" s="1"/>
  <c r="N501" i="9"/>
  <c r="N499" i="9" s="1"/>
  <c r="T501" i="9"/>
  <c r="U501" i="9"/>
  <c r="I503" i="9"/>
  <c r="I492" i="9" s="1"/>
  <c r="K492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O514" i="9" s="1"/>
  <c r="M514" i="9"/>
  <c r="N514" i="9"/>
  <c r="Q514" i="9"/>
  <c r="Q513" i="9" s="1"/>
  <c r="T513" i="9" s="1"/>
  <c r="R514" i="9"/>
  <c r="U514" i="9" s="1"/>
  <c r="S514" i="9"/>
  <c r="T514" i="9"/>
  <c r="Q515" i="9"/>
  <c r="R515" i="9"/>
  <c r="U515" i="9" s="1"/>
  <c r="S515" i="9"/>
  <c r="T515" i="9"/>
  <c r="Q516" i="9"/>
  <c r="T516" i="9" s="1"/>
  <c r="R516" i="9"/>
  <c r="U516" i="9" s="1"/>
  <c r="S516" i="9"/>
  <c r="O517" i="9"/>
  <c r="P517" i="9"/>
  <c r="T517" i="9"/>
  <c r="U517" i="9"/>
  <c r="L518" i="9"/>
  <c r="M518" i="9"/>
  <c r="M516" i="9" s="1"/>
  <c r="P516" i="9" s="1"/>
  <c r="N518" i="9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P521" i="9" s="1"/>
  <c r="N521" i="9"/>
  <c r="N519" i="9" s="1"/>
  <c r="T521" i="9"/>
  <c r="U521" i="9"/>
  <c r="K523" i="9"/>
  <c r="K524" i="9"/>
  <c r="I533" i="9"/>
  <c r="K533" i="9" s="1"/>
  <c r="J533" i="9"/>
  <c r="R534" i="9"/>
  <c r="U534" i="9" s="1"/>
  <c r="L535" i="9"/>
  <c r="O535" i="9" s="1"/>
  <c r="M535" i="9"/>
  <c r="P535" i="9" s="1"/>
  <c r="N535" i="9"/>
  <c r="Q535" i="9"/>
  <c r="R535" i="9"/>
  <c r="U535" i="9" s="1"/>
  <c r="S535" i="9"/>
  <c r="S534" i="9" s="1"/>
  <c r="T535" i="9"/>
  <c r="Q536" i="9"/>
  <c r="T536" i="9" s="1"/>
  <c r="R536" i="9"/>
  <c r="S536" i="9"/>
  <c r="U536" i="9"/>
  <c r="Q537" i="9"/>
  <c r="T537" i="9" s="1"/>
  <c r="R537" i="9"/>
  <c r="S537" i="9"/>
  <c r="U537" i="9"/>
  <c r="O538" i="9"/>
  <c r="P538" i="9"/>
  <c r="T538" i="9"/>
  <c r="U538" i="9"/>
  <c r="L539" i="9"/>
  <c r="M539" i="9"/>
  <c r="N539" i="9"/>
  <c r="T539" i="9"/>
  <c r="U539" i="9"/>
  <c r="Q540" i="9"/>
  <c r="R540" i="9"/>
  <c r="U540" i="9" s="1"/>
  <c r="S540" i="9"/>
  <c r="T540" i="9"/>
  <c r="O541" i="9"/>
  <c r="P541" i="9"/>
  <c r="T541" i="9"/>
  <c r="U541" i="9"/>
  <c r="L542" i="9"/>
  <c r="O542" i="9" s="1"/>
  <c r="M542" i="9"/>
  <c r="M540" i="9" s="1"/>
  <c r="P540" i="9" s="1"/>
  <c r="N542" i="9"/>
  <c r="N540" i="9" s="1"/>
  <c r="T542" i="9"/>
  <c r="U542" i="9"/>
  <c r="I554" i="9"/>
  <c r="K554" i="9" s="1"/>
  <c r="J554" i="9"/>
  <c r="L556" i="9"/>
  <c r="M556" i="9"/>
  <c r="P556" i="9" s="1"/>
  <c r="N556" i="9"/>
  <c r="O556" i="9"/>
  <c r="Q556" i="9"/>
  <c r="R556" i="9"/>
  <c r="U556" i="9" s="1"/>
  <c r="S556" i="9"/>
  <c r="Q557" i="9"/>
  <c r="T557" i="9" s="1"/>
  <c r="R557" i="9"/>
  <c r="U557" i="9" s="1"/>
  <c r="S557" i="9"/>
  <c r="S555" i="9" s="1"/>
  <c r="Q558" i="9"/>
  <c r="R558" i="9"/>
  <c r="U558" i="9" s="1"/>
  <c r="S558" i="9"/>
  <c r="T558" i="9"/>
  <c r="O559" i="9"/>
  <c r="P559" i="9"/>
  <c r="T559" i="9"/>
  <c r="U559" i="9"/>
  <c r="L560" i="9"/>
  <c r="O560" i="9" s="1"/>
  <c r="M560" i="9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L561" i="9" s="1"/>
  <c r="O561" i="9" s="1"/>
  <c r="M563" i="9"/>
  <c r="M561" i="9" s="1"/>
  <c r="P561" i="9" s="1"/>
  <c r="N563" i="9"/>
  <c r="N561" i="9" s="1"/>
  <c r="T563" i="9"/>
  <c r="U563" i="9"/>
  <c r="I575" i="9"/>
  <c r="J575" i="9"/>
  <c r="L577" i="9"/>
  <c r="O577" i="9" s="1"/>
  <c r="M577" i="9"/>
  <c r="N577" i="9"/>
  <c r="Q577" i="9"/>
  <c r="Q576" i="9" s="1"/>
  <c r="T576" i="9" s="1"/>
  <c r="R577" i="9"/>
  <c r="U577" i="9" s="1"/>
  <c r="S577" i="9"/>
  <c r="Q578" i="9"/>
  <c r="T578" i="9" s="1"/>
  <c r="R578" i="9"/>
  <c r="S578" i="9"/>
  <c r="U578" i="9"/>
  <c r="Q579" i="9"/>
  <c r="T579" i="9" s="1"/>
  <c r="R579" i="9"/>
  <c r="U579" i="9" s="1"/>
  <c r="S579" i="9"/>
  <c r="O580" i="9"/>
  <c r="P580" i="9"/>
  <c r="T580" i="9"/>
  <c r="U580" i="9"/>
  <c r="L581" i="9"/>
  <c r="L579" i="9" s="1"/>
  <c r="M581" i="9"/>
  <c r="N581" i="9"/>
  <c r="N579" i="9" s="1"/>
  <c r="T581" i="9"/>
  <c r="U581" i="9"/>
  <c r="Q582" i="9"/>
  <c r="R582" i="9"/>
  <c r="U582" i="9" s="1"/>
  <c r="S582" i="9"/>
  <c r="T582" i="9"/>
  <c r="O583" i="9"/>
  <c r="P583" i="9"/>
  <c r="T583" i="9"/>
  <c r="U583" i="9"/>
  <c r="L584" i="9"/>
  <c r="O584" i="9" s="1"/>
  <c r="M584" i="9"/>
  <c r="N584" i="9"/>
  <c r="N582" i="9" s="1"/>
  <c r="T584" i="9"/>
  <c r="U584" i="9"/>
  <c r="K586" i="9"/>
  <c r="K587" i="9"/>
  <c r="L600" i="9"/>
  <c r="M600" i="9"/>
  <c r="P600" i="9" s="1"/>
  <c r="N600" i="9"/>
  <c r="Q600" i="9"/>
  <c r="R600" i="9"/>
  <c r="S600" i="9"/>
  <c r="O603" i="9"/>
  <c r="P603" i="9"/>
  <c r="T603" i="9"/>
  <c r="U603" i="9"/>
  <c r="L604" i="9"/>
  <c r="O604" i="9" s="1"/>
  <c r="M604" i="9"/>
  <c r="P604" i="9" s="1"/>
  <c r="N604" i="9"/>
  <c r="N602" i="9" s="1"/>
  <c r="Q604" i="9"/>
  <c r="R604" i="9"/>
  <c r="U604" i="9" s="1"/>
  <c r="S604" i="9"/>
  <c r="S602" i="9" s="1"/>
  <c r="O606" i="9"/>
  <c r="P606" i="9"/>
  <c r="T606" i="9"/>
  <c r="U606" i="9"/>
  <c r="L607" i="9"/>
  <c r="O607" i="9" s="1"/>
  <c r="M607" i="9"/>
  <c r="P607" i="9" s="1"/>
  <c r="N607" i="9"/>
  <c r="N605" i="9" s="1"/>
  <c r="Q607" i="9"/>
  <c r="Q605" i="9" s="1"/>
  <c r="T605" i="9" s="1"/>
  <c r="R607" i="9"/>
  <c r="U607" i="9" s="1"/>
  <c r="S607" i="9"/>
  <c r="S605" i="9" s="1"/>
  <c r="L617" i="9"/>
  <c r="L616" i="9" s="1"/>
  <c r="O616" i="9" s="1"/>
  <c r="M617" i="9"/>
  <c r="P617" i="9" s="1"/>
  <c r="N617" i="9"/>
  <c r="N616" i="9" s="1"/>
  <c r="Q617" i="9"/>
  <c r="T617" i="9" s="1"/>
  <c r="R617" i="9"/>
  <c r="S617" i="9"/>
  <c r="U617" i="9"/>
  <c r="L618" i="9"/>
  <c r="M618" i="9"/>
  <c r="P618" i="9" s="1"/>
  <c r="N618" i="9"/>
  <c r="O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R621" i="9"/>
  <c r="R618" i="9" s="1"/>
  <c r="S621" i="9"/>
  <c r="S618" i="9" s="1"/>
  <c r="L622" i="9"/>
  <c r="O622" i="9" s="1"/>
  <c r="M622" i="9"/>
  <c r="N622" i="9"/>
  <c r="P622" i="9"/>
  <c r="Q622" i="9"/>
  <c r="R622" i="9"/>
  <c r="U622" i="9" s="1"/>
  <c r="S622" i="9"/>
  <c r="T622" i="9"/>
  <c r="O623" i="9"/>
  <c r="P623" i="9"/>
  <c r="T623" i="9"/>
  <c r="U623" i="9"/>
  <c r="O624" i="9"/>
  <c r="P624" i="9"/>
  <c r="T624" i="9"/>
  <c r="U624" i="9"/>
  <c r="I626" i="9"/>
  <c r="K632" i="9" s="1"/>
  <c r="I627" i="9"/>
  <c r="K627" i="9" s="1"/>
  <c r="I628" i="9"/>
  <c r="K628" i="9" s="1"/>
  <c r="J632" i="9"/>
  <c r="J626" i="9" s="1"/>
  <c r="I635" i="9"/>
  <c r="K635" i="9" s="1"/>
  <c r="J636" i="9"/>
  <c r="J635" i="9" s="1"/>
  <c r="L642" i="9"/>
  <c r="O642" i="9" s="1"/>
  <c r="L643" i="9"/>
  <c r="O643" i="9" s="1"/>
  <c r="M643" i="9"/>
  <c r="N643" i="9"/>
  <c r="Q643" i="9"/>
  <c r="T643" i="9" s="1"/>
  <c r="R643" i="9"/>
  <c r="U643" i="9" s="1"/>
  <c r="S643" i="9"/>
  <c r="L644" i="9"/>
  <c r="M644" i="9"/>
  <c r="N644" i="9"/>
  <c r="O644" i="9"/>
  <c r="P644" i="9"/>
  <c r="L645" i="9"/>
  <c r="O645" i="9" s="1"/>
  <c r="M645" i="9"/>
  <c r="N645" i="9"/>
  <c r="P645" i="9"/>
  <c r="O646" i="9"/>
  <c r="P646" i="9"/>
  <c r="T646" i="9"/>
  <c r="U646" i="9"/>
  <c r="O647" i="9"/>
  <c r="P647" i="9"/>
  <c r="Q647" i="9"/>
  <c r="Q644" i="9" s="1"/>
  <c r="R647" i="9"/>
  <c r="R644" i="9" s="1"/>
  <c r="U644" i="9" s="1"/>
  <c r="S647" i="9"/>
  <c r="L648" i="9"/>
  <c r="M648" i="9"/>
  <c r="P648" i="9" s="1"/>
  <c r="N648" i="9"/>
  <c r="O648" i="9"/>
  <c r="Q648" i="9"/>
  <c r="R648" i="9"/>
  <c r="S648" i="9"/>
  <c r="T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O691" i="9" s="1"/>
  <c r="M691" i="9"/>
  <c r="M690" i="9" s="1"/>
  <c r="P690" i="9" s="1"/>
  <c r="N691" i="9"/>
  <c r="Q691" i="9"/>
  <c r="R691" i="9"/>
  <c r="U691" i="9" s="1"/>
  <c r="S691" i="9"/>
  <c r="T691" i="9"/>
  <c r="L692" i="9"/>
  <c r="O692" i="9" s="1"/>
  <c r="M692" i="9"/>
  <c r="N692" i="9"/>
  <c r="P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2" i="9" s="1"/>
  <c r="R695" i="9"/>
  <c r="R692" i="9" s="1"/>
  <c r="R690" i="9" s="1"/>
  <c r="S695" i="9"/>
  <c r="L696" i="9"/>
  <c r="M696" i="9"/>
  <c r="P696" i="9" s="1"/>
  <c r="N696" i="9"/>
  <c r="O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K703" i="9" s="1"/>
  <c r="J703" i="9"/>
  <c r="J704" i="9"/>
  <c r="K704" i="9"/>
  <c r="I705" i="9"/>
  <c r="J705" i="9"/>
  <c r="J706" i="9"/>
  <c r="K706" i="9"/>
  <c r="I707" i="9"/>
  <c r="I689" i="9" s="1"/>
  <c r="K689" i="9" s="1"/>
  <c r="J707" i="9"/>
  <c r="J689" i="9" s="1"/>
  <c r="J708" i="9"/>
  <c r="K708" i="9"/>
  <c r="I709" i="9"/>
  <c r="J709" i="9"/>
  <c r="J710" i="9"/>
  <c r="K710" i="9"/>
  <c r="J712" i="9"/>
  <c r="K712" i="9"/>
  <c r="P714" i="9"/>
  <c r="L715" i="9"/>
  <c r="M715" i="9"/>
  <c r="M714" i="9" s="1"/>
  <c r="N715" i="9"/>
  <c r="P715" i="9"/>
  <c r="Q715" i="9"/>
  <c r="Q714" i="9" s="1"/>
  <c r="T714" i="9" s="1"/>
  <c r="R715" i="9"/>
  <c r="S715" i="9"/>
  <c r="L716" i="9"/>
  <c r="O716" i="9" s="1"/>
  <c r="M716" i="9"/>
  <c r="P716" i="9" s="1"/>
  <c r="N716" i="9"/>
  <c r="N714" i="9" s="1"/>
  <c r="Q716" i="9"/>
  <c r="T716" i="9" s="1"/>
  <c r="R716" i="9"/>
  <c r="U716" i="9" s="1"/>
  <c r="S716" i="9"/>
  <c r="L717" i="9"/>
  <c r="M717" i="9"/>
  <c r="P717" i="9" s="1"/>
  <c r="N717" i="9"/>
  <c r="O717" i="9"/>
  <c r="Q717" i="9"/>
  <c r="R717" i="9"/>
  <c r="S717" i="9"/>
  <c r="T717" i="9"/>
  <c r="U717" i="9"/>
  <c r="O718" i="9"/>
  <c r="P718" i="9"/>
  <c r="T718" i="9"/>
  <c r="U718" i="9"/>
  <c r="O719" i="9"/>
  <c r="P719" i="9"/>
  <c r="T719" i="9"/>
  <c r="U719" i="9"/>
  <c r="L720" i="9"/>
  <c r="M720" i="9"/>
  <c r="N720" i="9"/>
  <c r="O720" i="9"/>
  <c r="P720" i="9"/>
  <c r="Q720" i="9"/>
  <c r="R720" i="9"/>
  <c r="S720" i="9"/>
  <c r="T720" i="9"/>
  <c r="U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J727" i="9"/>
  <c r="L729" i="9"/>
  <c r="M729" i="9"/>
  <c r="N729" i="9"/>
  <c r="P729" i="9"/>
  <c r="Q729" i="9"/>
  <c r="R729" i="9"/>
  <c r="S729" i="9"/>
  <c r="L730" i="9"/>
  <c r="O730" i="9" s="1"/>
  <c r="M730" i="9"/>
  <c r="P730" i="9" s="1"/>
  <c r="N730" i="9"/>
  <c r="N728" i="9" s="1"/>
  <c r="L731" i="9"/>
  <c r="M731" i="9"/>
  <c r="N731" i="9"/>
  <c r="O731" i="9"/>
  <c r="P731" i="9"/>
  <c r="O732" i="9"/>
  <c r="P732" i="9"/>
  <c r="T732" i="9"/>
  <c r="U732" i="9"/>
  <c r="O733" i="9"/>
  <c r="P733" i="9"/>
  <c r="Q733" i="9"/>
  <c r="R733" i="9"/>
  <c r="R731" i="9" s="1"/>
  <c r="S733" i="9"/>
  <c r="S731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N761" i="9"/>
  <c r="N760" i="9" s="1"/>
  <c r="Q761" i="9"/>
  <c r="T761" i="9" s="1"/>
  <c r="R761" i="9"/>
  <c r="S761" i="9"/>
  <c r="L762" i="9"/>
  <c r="M762" i="9"/>
  <c r="P762" i="9" s="1"/>
  <c r="N762" i="9"/>
  <c r="O762" i="9"/>
  <c r="L763" i="9"/>
  <c r="M763" i="9"/>
  <c r="N763" i="9"/>
  <c r="O763" i="9"/>
  <c r="P763" i="9"/>
  <c r="O764" i="9"/>
  <c r="P764" i="9"/>
  <c r="T764" i="9"/>
  <c r="U764" i="9"/>
  <c r="O765" i="9"/>
  <c r="P765" i="9"/>
  <c r="Q765" i="9"/>
  <c r="Q762" i="9" s="1"/>
  <c r="R765" i="9"/>
  <c r="S765" i="9"/>
  <c r="S762" i="9" s="1"/>
  <c r="L766" i="9"/>
  <c r="O766" i="9" s="1"/>
  <c r="M766" i="9"/>
  <c r="P766" i="9" s="1"/>
  <c r="N766" i="9"/>
  <c r="Q766" i="9"/>
  <c r="R766" i="9"/>
  <c r="U766" i="9" s="1"/>
  <c r="S766" i="9"/>
  <c r="T766" i="9"/>
  <c r="O767" i="9"/>
  <c r="P767" i="9"/>
  <c r="T767" i="9"/>
  <c r="U767" i="9"/>
  <c r="O768" i="9"/>
  <c r="P768" i="9"/>
  <c r="T768" i="9"/>
  <c r="U768" i="9"/>
  <c r="I770" i="9"/>
  <c r="K770" i="9" s="1"/>
  <c r="I772" i="9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19" i="8"/>
  <c r="L22" i="8"/>
  <c r="M22" i="8"/>
  <c r="N22" i="8"/>
  <c r="N19" i="8" s="1"/>
  <c r="Q22" i="8"/>
  <c r="R22" i="8"/>
  <c r="S22" i="8"/>
  <c r="L25" i="8"/>
  <c r="M25" i="8"/>
  <c r="N25" i="8"/>
  <c r="Q25" i="8"/>
  <c r="T25" i="8" s="1"/>
  <c r="R25" i="8"/>
  <c r="S25" i="8"/>
  <c r="L45" i="8"/>
  <c r="O45" i="8" s="1"/>
  <c r="M45" i="8"/>
  <c r="N45" i="8"/>
  <c r="Q45" i="8"/>
  <c r="Q44" i="8" s="1"/>
  <c r="T44" i="8" s="1"/>
  <c r="R45" i="8"/>
  <c r="U45" i="8" s="1"/>
  <c r="S45" i="8"/>
  <c r="S44" i="8" s="1"/>
  <c r="T45" i="8"/>
  <c r="Q46" i="8"/>
  <c r="T46" i="8" s="1"/>
  <c r="R46" i="8"/>
  <c r="S46" i="8"/>
  <c r="U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M47" i="8" s="1"/>
  <c r="N49" i="8"/>
  <c r="T49" i="8"/>
  <c r="U49" i="8"/>
  <c r="Q50" i="8"/>
  <c r="T50" i="8" s="1"/>
  <c r="R50" i="8"/>
  <c r="U50" i="8" s="1"/>
  <c r="S50" i="8"/>
  <c r="O51" i="8"/>
  <c r="P51" i="8"/>
  <c r="T51" i="8"/>
  <c r="U51" i="8"/>
  <c r="L52" i="8"/>
  <c r="M52" i="8"/>
  <c r="N52" i="8"/>
  <c r="N50" i="8" s="1"/>
  <c r="T52" i="8"/>
  <c r="U52" i="8"/>
  <c r="L60" i="8"/>
  <c r="O60" i="8" s="1"/>
  <c r="M60" i="8"/>
  <c r="N60" i="8"/>
  <c r="Q60" i="8"/>
  <c r="Q59" i="8" s="1"/>
  <c r="T59" i="8" s="1"/>
  <c r="R60" i="8"/>
  <c r="U60" i="8" s="1"/>
  <c r="S60" i="8"/>
  <c r="Q61" i="8"/>
  <c r="T61" i="8" s="1"/>
  <c r="R61" i="8"/>
  <c r="S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M62" i="8" s="1"/>
  <c r="N64" i="8"/>
  <c r="T64" i="8"/>
  <c r="U64" i="8"/>
  <c r="Q65" i="8"/>
  <c r="R65" i="8"/>
  <c r="S65" i="8"/>
  <c r="T65" i="8"/>
  <c r="U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T73" i="8" s="1"/>
  <c r="R73" i="8"/>
  <c r="S73" i="8"/>
  <c r="O76" i="8"/>
  <c r="P76" i="8"/>
  <c r="T76" i="8"/>
  <c r="U76" i="8"/>
  <c r="L77" i="8"/>
  <c r="O77" i="8" s="1"/>
  <c r="M77" i="8"/>
  <c r="M75" i="8" s="1"/>
  <c r="P75" i="8" s="1"/>
  <c r="N77" i="8"/>
  <c r="N75" i="8" s="1"/>
  <c r="Q77" i="8"/>
  <c r="R77" i="8"/>
  <c r="R75" i="8" s="1"/>
  <c r="U75" i="8" s="1"/>
  <c r="S77" i="8"/>
  <c r="S75" i="8" s="1"/>
  <c r="O79" i="8"/>
  <c r="P79" i="8"/>
  <c r="T79" i="8"/>
  <c r="U79" i="8"/>
  <c r="L80" i="8"/>
  <c r="O80" i="8" s="1"/>
  <c r="M80" i="8"/>
  <c r="M78" i="8" s="1"/>
  <c r="P78" i="8" s="1"/>
  <c r="N80" i="8"/>
  <c r="N78" i="8" s="1"/>
  <c r="Q80" i="8"/>
  <c r="R80" i="8"/>
  <c r="R78" i="8" s="1"/>
  <c r="U78" i="8" s="1"/>
  <c r="S80" i="8"/>
  <c r="S78" i="8" s="1"/>
  <c r="J82" i="8"/>
  <c r="J70" i="8" s="1"/>
  <c r="J83" i="8"/>
  <c r="J71" i="8" s="1"/>
  <c r="I84" i="8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P95" i="8" s="1"/>
  <c r="N95" i="8"/>
  <c r="Q95" i="8"/>
  <c r="R95" i="8"/>
  <c r="S95" i="8"/>
  <c r="O98" i="8"/>
  <c r="P98" i="8"/>
  <c r="T98" i="8"/>
  <c r="U98" i="8"/>
  <c r="L99" i="8"/>
  <c r="M99" i="8"/>
  <c r="N99" i="8"/>
  <c r="N97" i="8" s="1"/>
  <c r="Q99" i="8"/>
  <c r="Q97" i="8" s="1"/>
  <c r="R99" i="8"/>
  <c r="R97" i="8" s="1"/>
  <c r="S99" i="8"/>
  <c r="Q100" i="8"/>
  <c r="R100" i="8"/>
  <c r="U100" i="8" s="1"/>
  <c r="S100" i="8"/>
  <c r="T100" i="8"/>
  <c r="O101" i="8"/>
  <c r="P101" i="8"/>
  <c r="T101" i="8"/>
  <c r="U101" i="8"/>
  <c r="L102" i="8"/>
  <c r="O102" i="8" s="1"/>
  <c r="M102" i="8"/>
  <c r="N102" i="8"/>
  <c r="N100" i="8" s="1"/>
  <c r="T102" i="8"/>
  <c r="U102" i="8"/>
  <c r="I108" i="8"/>
  <c r="I109" i="8"/>
  <c r="I93" i="8" s="1"/>
  <c r="I113" i="8"/>
  <c r="K113" i="8" s="1"/>
  <c r="I114" i="8"/>
  <c r="K114" i="8" s="1"/>
  <c r="J116" i="8"/>
  <c r="L118" i="8"/>
  <c r="M118" i="8"/>
  <c r="P118" i="8" s="1"/>
  <c r="N118" i="8"/>
  <c r="O118" i="8"/>
  <c r="Q118" i="8"/>
  <c r="R118" i="8"/>
  <c r="S118" i="8"/>
  <c r="T118" i="8"/>
  <c r="U118" i="8"/>
  <c r="O121" i="8"/>
  <c r="P121" i="8"/>
  <c r="T121" i="8"/>
  <c r="U121" i="8"/>
  <c r="L122" i="8"/>
  <c r="M122" i="8"/>
  <c r="N122" i="8"/>
  <c r="Q122" i="8"/>
  <c r="R122" i="8"/>
  <c r="S122" i="8"/>
  <c r="S120" i="8" s="1"/>
  <c r="O124" i="8"/>
  <c r="P124" i="8"/>
  <c r="T124" i="8"/>
  <c r="U124" i="8"/>
  <c r="L125" i="8"/>
  <c r="M125" i="8"/>
  <c r="N125" i="8"/>
  <c r="N123" i="8" s="1"/>
  <c r="Q125" i="8"/>
  <c r="R125" i="8"/>
  <c r="S125" i="8"/>
  <c r="S123" i="8" s="1"/>
  <c r="I127" i="8"/>
  <c r="I116" i="8" s="1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O140" i="8"/>
  <c r="P140" i="8"/>
  <c r="Q140" i="8"/>
  <c r="R140" i="8"/>
  <c r="S140" i="8"/>
  <c r="U140" i="8"/>
  <c r="O143" i="8"/>
  <c r="P143" i="8"/>
  <c r="T143" i="8"/>
  <c r="U143" i="8"/>
  <c r="L144" i="8"/>
  <c r="M144" i="8"/>
  <c r="N144" i="8"/>
  <c r="N142" i="8" s="1"/>
  <c r="Q144" i="8"/>
  <c r="T144" i="8" s="1"/>
  <c r="R144" i="8"/>
  <c r="S144" i="8"/>
  <c r="S142" i="8" s="1"/>
  <c r="O146" i="8"/>
  <c r="P146" i="8"/>
  <c r="T146" i="8"/>
  <c r="U146" i="8"/>
  <c r="L147" i="8"/>
  <c r="M147" i="8"/>
  <c r="N147" i="8"/>
  <c r="N145" i="8" s="1"/>
  <c r="Q147" i="8"/>
  <c r="T147" i="8" s="1"/>
  <c r="R147" i="8"/>
  <c r="S147" i="8"/>
  <c r="S145" i="8" s="1"/>
  <c r="I150" i="8"/>
  <c r="K150" i="8" s="1"/>
  <c r="I151" i="8"/>
  <c r="K151" i="8" s="1"/>
  <c r="I152" i="8"/>
  <c r="I137" i="8" s="1"/>
  <c r="K137" i="8" s="1"/>
  <c r="I153" i="8"/>
  <c r="K153" i="8" s="1"/>
  <c r="I154" i="8"/>
  <c r="I136" i="8" s="1"/>
  <c r="K136" i="8" s="1"/>
  <c r="J156" i="8"/>
  <c r="L158" i="8"/>
  <c r="M158" i="8"/>
  <c r="N158" i="8"/>
  <c r="O158" i="8"/>
  <c r="Q158" i="8"/>
  <c r="R158" i="8"/>
  <c r="S158" i="8"/>
  <c r="T158" i="8"/>
  <c r="U158" i="8"/>
  <c r="O161" i="8"/>
  <c r="P161" i="8"/>
  <c r="T161" i="8"/>
  <c r="U161" i="8"/>
  <c r="L162" i="8"/>
  <c r="M162" i="8"/>
  <c r="N162" i="8"/>
  <c r="Q162" i="8"/>
  <c r="R162" i="8"/>
  <c r="R159" i="8" s="1"/>
  <c r="U159" i="8" s="1"/>
  <c r="S162" i="8"/>
  <c r="S159" i="8" s="1"/>
  <c r="S157" i="8" s="1"/>
  <c r="Q163" i="8"/>
  <c r="T163" i="8" s="1"/>
  <c r="R163" i="8"/>
  <c r="U163" i="8" s="1"/>
  <c r="S163" i="8"/>
  <c r="O164" i="8"/>
  <c r="P164" i="8"/>
  <c r="T164" i="8"/>
  <c r="U164" i="8"/>
  <c r="L165" i="8"/>
  <c r="M165" i="8"/>
  <c r="P165" i="8" s="1"/>
  <c r="N165" i="8"/>
  <c r="N163" i="8" s="1"/>
  <c r="T165" i="8"/>
  <c r="U165" i="8"/>
  <c r="I167" i="8"/>
  <c r="K167" i="8" s="1"/>
  <c r="I168" i="8"/>
  <c r="K168" i="8" s="1"/>
  <c r="I169" i="8"/>
  <c r="I156" i="8" s="1"/>
  <c r="K156" i="8" s="1"/>
  <c r="J172" i="8"/>
  <c r="L174" i="8"/>
  <c r="M174" i="8"/>
  <c r="N174" i="8"/>
  <c r="O174" i="8"/>
  <c r="P174" i="8"/>
  <c r="Q174" i="8"/>
  <c r="R174" i="8"/>
  <c r="S174" i="8"/>
  <c r="U174" i="8"/>
  <c r="O177" i="8"/>
  <c r="P177" i="8"/>
  <c r="T177" i="8"/>
  <c r="U177" i="8"/>
  <c r="L178" i="8"/>
  <c r="L176" i="8" s="1"/>
  <c r="M178" i="8"/>
  <c r="M176" i="8" s="1"/>
  <c r="N178" i="8"/>
  <c r="N176" i="8" s="1"/>
  <c r="Q178" i="8"/>
  <c r="Q175" i="8" s="1"/>
  <c r="T175" i="8" s="1"/>
  <c r="R178" i="8"/>
  <c r="U178" i="8" s="1"/>
  <c r="S178" i="8"/>
  <c r="S175" i="8" s="1"/>
  <c r="Q179" i="8"/>
  <c r="R179" i="8"/>
  <c r="S179" i="8"/>
  <c r="T179" i="8"/>
  <c r="U179" i="8"/>
  <c r="O180" i="8"/>
  <c r="P180" i="8"/>
  <c r="T180" i="8"/>
  <c r="U180" i="8"/>
  <c r="L181" i="8"/>
  <c r="M181" i="8"/>
  <c r="N181" i="8"/>
  <c r="N179" i="8" s="1"/>
  <c r="T181" i="8"/>
  <c r="U181" i="8"/>
  <c r="I183" i="8"/>
  <c r="I172" i="8" s="1"/>
  <c r="K184" i="8"/>
  <c r="L187" i="8"/>
  <c r="M187" i="8"/>
  <c r="N187" i="8"/>
  <c r="O187" i="8"/>
  <c r="P187" i="8"/>
  <c r="Q187" i="8"/>
  <c r="T187" i="8" s="1"/>
  <c r="R187" i="8"/>
  <c r="S187" i="8"/>
  <c r="U187" i="8"/>
  <c r="O190" i="8"/>
  <c r="P190" i="8"/>
  <c r="T190" i="8"/>
  <c r="U190" i="8"/>
  <c r="L191" i="8"/>
  <c r="M191" i="8"/>
  <c r="M189" i="8" s="1"/>
  <c r="N191" i="8"/>
  <c r="N189" i="8" s="1"/>
  <c r="Q191" i="8"/>
  <c r="R191" i="8"/>
  <c r="S191" i="8"/>
  <c r="O193" i="8"/>
  <c r="P193" i="8"/>
  <c r="T193" i="8"/>
  <c r="U193" i="8"/>
  <c r="L194" i="8"/>
  <c r="M194" i="8"/>
  <c r="P194" i="8" s="1"/>
  <c r="N194" i="8"/>
  <c r="N192" i="8" s="1"/>
  <c r="Q194" i="8"/>
  <c r="T194" i="8" s="1"/>
  <c r="R194" i="8"/>
  <c r="R192" i="8" s="1"/>
  <c r="U192" i="8" s="1"/>
  <c r="S194" i="8"/>
  <c r="S192" i="8" s="1"/>
  <c r="J195" i="8"/>
  <c r="L196" i="8"/>
  <c r="O196" i="8" s="1"/>
  <c r="P196" i="8"/>
  <c r="I198" i="8"/>
  <c r="I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K202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K229" i="8" s="1"/>
  <c r="I230" i="8"/>
  <c r="K230" i="8" s="1"/>
  <c r="N233" i="8"/>
  <c r="N234" i="8"/>
  <c r="N235" i="8"/>
  <c r="N236" i="8"/>
  <c r="J238" i="8"/>
  <c r="I240" i="8"/>
  <c r="K240" i="8" s="1"/>
  <c r="J240" i="8"/>
  <c r="I241" i="8"/>
  <c r="K241" i="8" s="1"/>
  <c r="J241" i="8"/>
  <c r="J242" i="8"/>
  <c r="N243" i="8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O267" i="8" s="1"/>
  <c r="M267" i="8"/>
  <c r="P267" i="8" s="1"/>
  <c r="N267" i="8"/>
  <c r="Q267" i="8"/>
  <c r="R267" i="8"/>
  <c r="S267" i="8"/>
  <c r="T267" i="8"/>
  <c r="O270" i="8"/>
  <c r="P270" i="8"/>
  <c r="T270" i="8"/>
  <c r="U270" i="8"/>
  <c r="L271" i="8"/>
  <c r="M271" i="8"/>
  <c r="N271" i="8"/>
  <c r="Q271" i="8"/>
  <c r="Q269" i="8" s="1"/>
  <c r="R271" i="8"/>
  <c r="R268" i="8" s="1"/>
  <c r="S271" i="8"/>
  <c r="S268" i="8" s="1"/>
  <c r="S266" i="8" s="1"/>
  <c r="Q272" i="8"/>
  <c r="T272" i="8" s="1"/>
  <c r="R272" i="8"/>
  <c r="U272" i="8" s="1"/>
  <c r="S272" i="8"/>
  <c r="O273" i="8"/>
  <c r="P273" i="8"/>
  <c r="T273" i="8"/>
  <c r="U273" i="8"/>
  <c r="L274" i="8"/>
  <c r="O274" i="8" s="1"/>
  <c r="M274" i="8"/>
  <c r="N274" i="8"/>
  <c r="N272" i="8" s="1"/>
  <c r="T274" i="8"/>
  <c r="U274" i="8"/>
  <c r="I276" i="8"/>
  <c r="I265" i="8" s="1"/>
  <c r="J281" i="8"/>
  <c r="L283" i="8"/>
  <c r="M283" i="8"/>
  <c r="N283" i="8"/>
  <c r="O283" i="8"/>
  <c r="Q283" i="8"/>
  <c r="R283" i="8"/>
  <c r="U283" i="8" s="1"/>
  <c r="S283" i="8"/>
  <c r="Q284" i="8"/>
  <c r="T284" i="8" s="1"/>
  <c r="R284" i="8"/>
  <c r="S284" i="8"/>
  <c r="U284" i="8"/>
  <c r="Q285" i="8"/>
  <c r="R285" i="8"/>
  <c r="S285" i="8"/>
  <c r="T285" i="8"/>
  <c r="U285" i="8"/>
  <c r="O286" i="8"/>
  <c r="P286" i="8"/>
  <c r="T286" i="8"/>
  <c r="U286" i="8"/>
  <c r="L287" i="8"/>
  <c r="M287" i="8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M290" i="8"/>
  <c r="N290" i="8"/>
  <c r="N288" i="8" s="1"/>
  <c r="T290" i="8"/>
  <c r="U290" i="8"/>
  <c r="I292" i="8"/>
  <c r="I281" i="8" s="1"/>
  <c r="K281" i="8" s="1"/>
  <c r="I293" i="8"/>
  <c r="J293" i="8"/>
  <c r="J280" i="8" s="1"/>
  <c r="I295" i="8"/>
  <c r="K295" i="8" s="1"/>
  <c r="I296" i="8"/>
  <c r="K296" i="8" s="1"/>
  <c r="J302" i="8"/>
  <c r="L304" i="8"/>
  <c r="O304" i="8" s="1"/>
  <c r="M304" i="8"/>
  <c r="N304" i="8"/>
  <c r="P304" i="8"/>
  <c r="Q304" i="8"/>
  <c r="T304" i="8" s="1"/>
  <c r="R304" i="8"/>
  <c r="S304" i="8"/>
  <c r="U304" i="8"/>
  <c r="O307" i="8"/>
  <c r="P307" i="8"/>
  <c r="T307" i="8"/>
  <c r="U307" i="8"/>
  <c r="L308" i="8"/>
  <c r="L306" i="8" s="1"/>
  <c r="O306" i="8" s="1"/>
  <c r="M308" i="8"/>
  <c r="M306" i="8" s="1"/>
  <c r="P306" i="8" s="1"/>
  <c r="N308" i="8"/>
  <c r="N306" i="8" s="1"/>
  <c r="Q308" i="8"/>
  <c r="Q306" i="8" s="1"/>
  <c r="R308" i="8"/>
  <c r="S308" i="8"/>
  <c r="S305" i="8" s="1"/>
  <c r="S303" i="8" s="1"/>
  <c r="Q309" i="8"/>
  <c r="T309" i="8" s="1"/>
  <c r="R309" i="8"/>
  <c r="S309" i="8"/>
  <c r="U309" i="8"/>
  <c r="O310" i="8"/>
  <c r="P310" i="8"/>
  <c r="T310" i="8"/>
  <c r="U310" i="8"/>
  <c r="L311" i="8"/>
  <c r="M311" i="8"/>
  <c r="P311" i="8" s="1"/>
  <c r="N311" i="8"/>
  <c r="N309" i="8" s="1"/>
  <c r="T311" i="8"/>
  <c r="U311" i="8"/>
  <c r="I314" i="8"/>
  <c r="J319" i="8"/>
  <c r="L321" i="8"/>
  <c r="M321" i="8"/>
  <c r="N321" i="8"/>
  <c r="O321" i="8"/>
  <c r="Q321" i="8"/>
  <c r="R321" i="8"/>
  <c r="R320" i="8" s="1"/>
  <c r="U320" i="8" s="1"/>
  <c r="S321" i="8"/>
  <c r="T321" i="8"/>
  <c r="U321" i="8"/>
  <c r="Q322" i="8"/>
  <c r="T322" i="8" s="1"/>
  <c r="R322" i="8"/>
  <c r="U322" i="8" s="1"/>
  <c r="S322" i="8"/>
  <c r="Q323" i="8"/>
  <c r="T323" i="8" s="1"/>
  <c r="R323" i="8"/>
  <c r="U323" i="8" s="1"/>
  <c r="S323" i="8"/>
  <c r="O324" i="8"/>
  <c r="P324" i="8"/>
  <c r="T324" i="8"/>
  <c r="U324" i="8"/>
  <c r="L325" i="8"/>
  <c r="O325" i="8" s="1"/>
  <c r="M325" i="8"/>
  <c r="M323" i="8" s="1"/>
  <c r="P323" i="8" s="1"/>
  <c r="N325" i="8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O328" i="8" s="1"/>
  <c r="M328" i="8"/>
  <c r="N328" i="8"/>
  <c r="N326" i="8" s="1"/>
  <c r="T328" i="8"/>
  <c r="U328" i="8"/>
  <c r="I330" i="8"/>
  <c r="K330" i="8" s="1"/>
  <c r="L334" i="8"/>
  <c r="M334" i="8"/>
  <c r="P334" i="8" s="1"/>
  <c r="N334" i="8"/>
  <c r="Q334" i="8"/>
  <c r="R334" i="8"/>
  <c r="S334" i="8"/>
  <c r="S333" i="8" s="1"/>
  <c r="T334" i="8"/>
  <c r="Q335" i="8"/>
  <c r="T335" i="8" s="1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L336" i="8" s="1"/>
  <c r="M338" i="8"/>
  <c r="M336" i="8" s="1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D354" i="8"/>
  <c r="L357" i="8"/>
  <c r="O357" i="8" s="1"/>
  <c r="M357" i="8"/>
  <c r="P357" i="8" s="1"/>
  <c r="N357" i="8"/>
  <c r="Q357" i="8"/>
  <c r="R357" i="8"/>
  <c r="U357" i="8" s="1"/>
  <c r="S357" i="8"/>
  <c r="Q358" i="8"/>
  <c r="R358" i="8"/>
  <c r="U358" i="8" s="1"/>
  <c r="S358" i="8"/>
  <c r="S356" i="8" s="1"/>
  <c r="T358" i="8"/>
  <c r="Q359" i="8"/>
  <c r="T359" i="8" s="1"/>
  <c r="R359" i="8"/>
  <c r="U359" i="8" s="1"/>
  <c r="S359" i="8"/>
  <c r="O360" i="8"/>
  <c r="P360" i="8"/>
  <c r="T360" i="8"/>
  <c r="U360" i="8"/>
  <c r="L361" i="8"/>
  <c r="M361" i="8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M364" i="8"/>
  <c r="P364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O376" i="8" s="1"/>
  <c r="M376" i="8"/>
  <c r="N376" i="8"/>
  <c r="P376" i="8"/>
  <c r="Q376" i="8"/>
  <c r="T376" i="8" s="1"/>
  <c r="R376" i="8"/>
  <c r="U376" i="8" s="1"/>
  <c r="S376" i="8"/>
  <c r="O379" i="8"/>
  <c r="P379" i="8"/>
  <c r="T379" i="8"/>
  <c r="U379" i="8"/>
  <c r="L380" i="8"/>
  <c r="L378" i="8" s="1"/>
  <c r="M380" i="8"/>
  <c r="M378" i="8" s="1"/>
  <c r="N380" i="8"/>
  <c r="Q380" i="8"/>
  <c r="R380" i="8"/>
  <c r="S380" i="8"/>
  <c r="S377" i="8" s="1"/>
  <c r="S375" i="8" s="1"/>
  <c r="Q381" i="8"/>
  <c r="R381" i="8"/>
  <c r="U381" i="8" s="1"/>
  <c r="S381" i="8"/>
  <c r="T381" i="8"/>
  <c r="O382" i="8"/>
  <c r="P382" i="8"/>
  <c r="T382" i="8"/>
  <c r="U382" i="8"/>
  <c r="L383" i="8"/>
  <c r="O383" i="8" s="1"/>
  <c r="M383" i="8"/>
  <c r="M381" i="8" s="1"/>
  <c r="P381" i="8" s="1"/>
  <c r="N383" i="8"/>
  <c r="N381" i="8" s="1"/>
  <c r="T383" i="8"/>
  <c r="U383" i="8"/>
  <c r="J385" i="8"/>
  <c r="K385" i="8"/>
  <c r="I386" i="8"/>
  <c r="J386" i="8"/>
  <c r="J387" i="8"/>
  <c r="K387" i="8"/>
  <c r="I388" i="8"/>
  <c r="K388" i="8" s="1"/>
  <c r="J388" i="8"/>
  <c r="I391" i="8"/>
  <c r="K391" i="8" s="1"/>
  <c r="J391" i="8"/>
  <c r="N392" i="8"/>
  <c r="L393" i="8"/>
  <c r="M393" i="8"/>
  <c r="P393" i="8" s="1"/>
  <c r="N393" i="8"/>
  <c r="Q393" i="8"/>
  <c r="R393" i="8"/>
  <c r="S393" i="8"/>
  <c r="L394" i="8"/>
  <c r="O394" i="8" s="1"/>
  <c r="M394" i="8"/>
  <c r="P394" i="8" s="1"/>
  <c r="N394" i="8"/>
  <c r="L395" i="8"/>
  <c r="O395" i="8" s="1"/>
  <c r="M395" i="8"/>
  <c r="N395" i="8"/>
  <c r="P395" i="8"/>
  <c r="O396" i="8"/>
  <c r="P396" i="8"/>
  <c r="T396" i="8"/>
  <c r="U396" i="8"/>
  <c r="O397" i="8"/>
  <c r="P397" i="8"/>
  <c r="Q397" i="8"/>
  <c r="R397" i="8"/>
  <c r="R395" i="8" s="1"/>
  <c r="U395" i="8" s="1"/>
  <c r="S397" i="8"/>
  <c r="S395" i="8" s="1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P414" i="8" s="1"/>
  <c r="N414" i="8"/>
  <c r="Q414" i="8"/>
  <c r="R414" i="8"/>
  <c r="S414" i="8"/>
  <c r="O417" i="8"/>
  <c r="P417" i="8"/>
  <c r="T417" i="8"/>
  <c r="U417" i="8"/>
  <c r="L418" i="8"/>
  <c r="M418" i="8"/>
  <c r="N418" i="8"/>
  <c r="Q418" i="8"/>
  <c r="Q415" i="8" s="1"/>
  <c r="R418" i="8"/>
  <c r="R415" i="8" s="1"/>
  <c r="S418" i="8"/>
  <c r="S416" i="8" s="1"/>
  <c r="Q419" i="8"/>
  <c r="T419" i="8" s="1"/>
  <c r="R419" i="8"/>
  <c r="S419" i="8"/>
  <c r="U419" i="8"/>
  <c r="O420" i="8"/>
  <c r="P420" i="8"/>
  <c r="T420" i="8"/>
  <c r="U420" i="8"/>
  <c r="L421" i="8"/>
  <c r="M421" i="8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K423" i="8" s="1"/>
  <c r="I441" i="8"/>
  <c r="K441" i="8" s="1"/>
  <c r="J441" i="8"/>
  <c r="J446" i="8"/>
  <c r="J440" i="8" s="1"/>
  <c r="J423" i="8" s="1"/>
  <c r="J412" i="8" s="1"/>
  <c r="J447" i="8"/>
  <c r="I457" i="8"/>
  <c r="I456" i="8" s="1"/>
  <c r="I458" i="8"/>
  <c r="K458" i="8" s="1"/>
  <c r="J459" i="8"/>
  <c r="J460" i="8"/>
  <c r="J458" i="8" s="1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M494" i="8"/>
  <c r="N494" i="8"/>
  <c r="O494" i="8"/>
  <c r="P494" i="8"/>
  <c r="Q494" i="8"/>
  <c r="R494" i="8"/>
  <c r="S494" i="8"/>
  <c r="T494" i="8"/>
  <c r="U494" i="8"/>
  <c r="O497" i="8"/>
  <c r="P497" i="8"/>
  <c r="T497" i="8"/>
  <c r="U497" i="8"/>
  <c r="L498" i="8"/>
  <c r="M498" i="8"/>
  <c r="P498" i="8" s="1"/>
  <c r="N498" i="8"/>
  <c r="Q498" i="8"/>
  <c r="Q495" i="8" s="1"/>
  <c r="T495" i="8" s="1"/>
  <c r="R498" i="8"/>
  <c r="U498" i="8" s="1"/>
  <c r="S498" i="8"/>
  <c r="S495" i="8" s="1"/>
  <c r="S493" i="8" s="1"/>
  <c r="Q499" i="8"/>
  <c r="T499" i="8" s="1"/>
  <c r="R499" i="8"/>
  <c r="U499" i="8" s="1"/>
  <c r="S499" i="8"/>
  <c r="O500" i="8"/>
  <c r="P500" i="8"/>
  <c r="T500" i="8"/>
  <c r="U500" i="8"/>
  <c r="L501" i="8"/>
  <c r="O501" i="8" s="1"/>
  <c r="M501" i="8"/>
  <c r="N501" i="8"/>
  <c r="N499" i="8" s="1"/>
  <c r="T501" i="8"/>
  <c r="U501" i="8"/>
  <c r="I503" i="8"/>
  <c r="I504" i="8"/>
  <c r="I505" i="8"/>
  <c r="K505" i="8" s="1"/>
  <c r="I506" i="8"/>
  <c r="K506" i="8" s="1"/>
  <c r="I507" i="8"/>
  <c r="K507" i="8" s="1"/>
  <c r="K508" i="8"/>
  <c r="I509" i="8"/>
  <c r="K509" i="8" s="1"/>
  <c r="I512" i="8"/>
  <c r="J512" i="8"/>
  <c r="K512" i="8"/>
  <c r="L514" i="8"/>
  <c r="M514" i="8"/>
  <c r="N514" i="8"/>
  <c r="O514" i="8"/>
  <c r="Q514" i="8"/>
  <c r="R514" i="8"/>
  <c r="R513" i="8" s="1"/>
  <c r="U513" i="8" s="1"/>
  <c r="S514" i="8"/>
  <c r="S513" i="8" s="1"/>
  <c r="U514" i="8"/>
  <c r="Q515" i="8"/>
  <c r="T515" i="8" s="1"/>
  <c r="R515" i="8"/>
  <c r="U515" i="8" s="1"/>
  <c r="S515" i="8"/>
  <c r="Q516" i="8"/>
  <c r="T516" i="8" s="1"/>
  <c r="R516" i="8"/>
  <c r="U516" i="8" s="1"/>
  <c r="S516" i="8"/>
  <c r="O517" i="8"/>
  <c r="P517" i="8"/>
  <c r="T517" i="8"/>
  <c r="U517" i="8"/>
  <c r="L518" i="8"/>
  <c r="L516" i="8" s="1"/>
  <c r="O516" i="8" s="1"/>
  <c r="M518" i="8"/>
  <c r="M516" i="8" s="1"/>
  <c r="P516" i="8" s="1"/>
  <c r="N518" i="8"/>
  <c r="N516" i="8" s="1"/>
  <c r="T518" i="8"/>
  <c r="U518" i="8"/>
  <c r="Q519" i="8"/>
  <c r="R519" i="8"/>
  <c r="U519" i="8" s="1"/>
  <c r="S519" i="8"/>
  <c r="T519" i="8"/>
  <c r="O520" i="8"/>
  <c r="P520" i="8"/>
  <c r="T520" i="8"/>
  <c r="U520" i="8"/>
  <c r="L521" i="8"/>
  <c r="M521" i="8"/>
  <c r="N521" i="8"/>
  <c r="N519" i="8" s="1"/>
  <c r="T521" i="8"/>
  <c r="U521" i="8"/>
  <c r="K523" i="8"/>
  <c r="K524" i="8"/>
  <c r="I533" i="8"/>
  <c r="K533" i="8" s="1"/>
  <c r="J533" i="8"/>
  <c r="L535" i="8"/>
  <c r="O535" i="8" s="1"/>
  <c r="M535" i="8"/>
  <c r="P535" i="8" s="1"/>
  <c r="N535" i="8"/>
  <c r="Q535" i="8"/>
  <c r="R535" i="8"/>
  <c r="S535" i="8"/>
  <c r="T535" i="8"/>
  <c r="Q536" i="8"/>
  <c r="T536" i="8" s="1"/>
  <c r="R536" i="8"/>
  <c r="U536" i="8" s="1"/>
  <c r="S536" i="8"/>
  <c r="Q537" i="8"/>
  <c r="R537" i="8"/>
  <c r="U537" i="8" s="1"/>
  <c r="S537" i="8"/>
  <c r="T537" i="8"/>
  <c r="O538" i="8"/>
  <c r="P538" i="8"/>
  <c r="T538" i="8"/>
  <c r="U538" i="8"/>
  <c r="L539" i="8"/>
  <c r="M539" i="8"/>
  <c r="M537" i="8" s="1"/>
  <c r="P537" i="8" s="1"/>
  <c r="N539" i="8"/>
  <c r="N537" i="8" s="1"/>
  <c r="T539" i="8"/>
  <c r="U539" i="8"/>
  <c r="Q540" i="8"/>
  <c r="T540" i="8" s="1"/>
  <c r="R540" i="8"/>
  <c r="S540" i="8"/>
  <c r="U540" i="8"/>
  <c r="O541" i="8"/>
  <c r="P541" i="8"/>
  <c r="T541" i="8"/>
  <c r="U541" i="8"/>
  <c r="L542" i="8"/>
  <c r="L540" i="8" s="1"/>
  <c r="O540" i="8" s="1"/>
  <c r="M542" i="8"/>
  <c r="N542" i="8"/>
  <c r="N540" i="8" s="1"/>
  <c r="T542" i="8"/>
  <c r="U542" i="8"/>
  <c r="I554" i="8"/>
  <c r="K554" i="8" s="1"/>
  <c r="J554" i="8"/>
  <c r="L556" i="8"/>
  <c r="M556" i="8"/>
  <c r="N556" i="8"/>
  <c r="Q556" i="8"/>
  <c r="R556" i="8"/>
  <c r="S556" i="8"/>
  <c r="S555" i="8" s="1"/>
  <c r="Q557" i="8"/>
  <c r="T557" i="8" s="1"/>
  <c r="R557" i="8"/>
  <c r="S557" i="8"/>
  <c r="U557" i="8"/>
  <c r="Q558" i="8"/>
  <c r="T558" i="8" s="1"/>
  <c r="R558" i="8"/>
  <c r="S558" i="8"/>
  <c r="U558" i="8"/>
  <c r="O559" i="8"/>
  <c r="P559" i="8"/>
  <c r="T559" i="8"/>
  <c r="U559" i="8"/>
  <c r="L560" i="8"/>
  <c r="M560" i="8"/>
  <c r="N560" i="8"/>
  <c r="N558" i="8" s="1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M563" i="8"/>
  <c r="M561" i="8" s="1"/>
  <c r="P561" i="8" s="1"/>
  <c r="N563" i="8"/>
  <c r="N561" i="8" s="1"/>
  <c r="T563" i="8"/>
  <c r="U563" i="8"/>
  <c r="I575" i="8"/>
  <c r="K575" i="8" s="1"/>
  <c r="J575" i="8"/>
  <c r="L577" i="8"/>
  <c r="M577" i="8"/>
  <c r="P577" i="8" s="1"/>
  <c r="N577" i="8"/>
  <c r="Q577" i="8"/>
  <c r="R577" i="8"/>
  <c r="R576" i="8" s="1"/>
  <c r="U576" i="8" s="1"/>
  <c r="S577" i="8"/>
  <c r="S576" i="8" s="1"/>
  <c r="T577" i="8"/>
  <c r="U577" i="8"/>
  <c r="Q578" i="8"/>
  <c r="T578" i="8" s="1"/>
  <c r="R578" i="8"/>
  <c r="S578" i="8"/>
  <c r="U578" i="8"/>
  <c r="Q579" i="8"/>
  <c r="T579" i="8" s="1"/>
  <c r="R579" i="8"/>
  <c r="U579" i="8" s="1"/>
  <c r="S579" i="8"/>
  <c r="O580" i="8"/>
  <c r="P580" i="8"/>
  <c r="T580" i="8"/>
  <c r="U580" i="8"/>
  <c r="L581" i="8"/>
  <c r="L579" i="8" s="1"/>
  <c r="O579" i="8" s="1"/>
  <c r="M581" i="8"/>
  <c r="N581" i="8"/>
  <c r="N579" i="8" s="1"/>
  <c r="T581" i="8"/>
  <c r="U581" i="8"/>
  <c r="Q582" i="8"/>
  <c r="R582" i="8"/>
  <c r="S582" i="8"/>
  <c r="T582" i="8"/>
  <c r="U582" i="8"/>
  <c r="O583" i="8"/>
  <c r="P583" i="8"/>
  <c r="T583" i="8"/>
  <c r="U583" i="8"/>
  <c r="L584" i="8"/>
  <c r="O584" i="8" s="1"/>
  <c r="M584" i="8"/>
  <c r="N584" i="8"/>
  <c r="N582" i="8" s="1"/>
  <c r="T584" i="8"/>
  <c r="U584" i="8"/>
  <c r="L600" i="8"/>
  <c r="O600" i="8" s="1"/>
  <c r="M600" i="8"/>
  <c r="P600" i="8" s="1"/>
  <c r="N600" i="8"/>
  <c r="Q600" i="8"/>
  <c r="R600" i="8"/>
  <c r="U600" i="8" s="1"/>
  <c r="S600" i="8"/>
  <c r="T600" i="8"/>
  <c r="O603" i="8"/>
  <c r="P603" i="8"/>
  <c r="T603" i="8"/>
  <c r="U603" i="8"/>
  <c r="L604" i="8"/>
  <c r="M604" i="8"/>
  <c r="M602" i="8" s="1"/>
  <c r="P602" i="8" s="1"/>
  <c r="N604" i="8"/>
  <c r="N602" i="8" s="1"/>
  <c r="Q604" i="8"/>
  <c r="R604" i="8"/>
  <c r="R602" i="8" s="1"/>
  <c r="U602" i="8" s="1"/>
  <c r="S604" i="8"/>
  <c r="O606" i="8"/>
  <c r="P606" i="8"/>
  <c r="T606" i="8"/>
  <c r="U606" i="8"/>
  <c r="L607" i="8"/>
  <c r="M607" i="8"/>
  <c r="M605" i="8" s="1"/>
  <c r="P605" i="8" s="1"/>
  <c r="N607" i="8"/>
  <c r="N605" i="8" s="1"/>
  <c r="Q607" i="8"/>
  <c r="R607" i="8"/>
  <c r="S607" i="8"/>
  <c r="S605" i="8" s="1"/>
  <c r="L617" i="8"/>
  <c r="M617" i="8"/>
  <c r="N617" i="8"/>
  <c r="Q617" i="8"/>
  <c r="R617" i="8"/>
  <c r="S617" i="8"/>
  <c r="L618" i="8"/>
  <c r="M618" i="8"/>
  <c r="P618" i="8" s="1"/>
  <c r="N618" i="8"/>
  <c r="O618" i="8"/>
  <c r="L619" i="8"/>
  <c r="O619" i="8" s="1"/>
  <c r="M619" i="8"/>
  <c r="N619" i="8"/>
  <c r="P619" i="8"/>
  <c r="O620" i="8"/>
  <c r="P620" i="8"/>
  <c r="T620" i="8"/>
  <c r="U620" i="8"/>
  <c r="O621" i="8"/>
  <c r="P621" i="8"/>
  <c r="Q621" i="8"/>
  <c r="R621" i="8"/>
  <c r="R618" i="8" s="1"/>
  <c r="S621" i="8"/>
  <c r="S619" i="8" s="1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I615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M643" i="8"/>
  <c r="N643" i="8"/>
  <c r="N642" i="8" s="1"/>
  <c r="Q643" i="8"/>
  <c r="R643" i="8"/>
  <c r="S643" i="8"/>
  <c r="L644" i="8"/>
  <c r="O644" i="8" s="1"/>
  <c r="M644" i="8"/>
  <c r="P644" i="8" s="1"/>
  <c r="N644" i="8"/>
  <c r="L645" i="8"/>
  <c r="O645" i="8" s="1"/>
  <c r="M645" i="8"/>
  <c r="P645" i="8" s="1"/>
  <c r="N645" i="8"/>
  <c r="O646" i="8"/>
  <c r="P646" i="8"/>
  <c r="T646" i="8"/>
  <c r="U646" i="8"/>
  <c r="O647" i="8"/>
  <c r="P647" i="8"/>
  <c r="Q647" i="8"/>
  <c r="Q644" i="8" s="1"/>
  <c r="T644" i="8" s="1"/>
  <c r="R647" i="8"/>
  <c r="R645" i="8" s="1"/>
  <c r="U645" i="8" s="1"/>
  <c r="S647" i="8"/>
  <c r="S644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M691" i="8"/>
  <c r="P691" i="8" s="1"/>
  <c r="N691" i="8"/>
  <c r="N690" i="8" s="1"/>
  <c r="Q691" i="8"/>
  <c r="R691" i="8"/>
  <c r="S691" i="8"/>
  <c r="L692" i="8"/>
  <c r="O692" i="8" s="1"/>
  <c r="M692" i="8"/>
  <c r="P692" i="8" s="1"/>
  <c r="N692" i="8"/>
  <c r="L693" i="8"/>
  <c r="M693" i="8"/>
  <c r="P693" i="8" s="1"/>
  <c r="N693" i="8"/>
  <c r="O693" i="8"/>
  <c r="O694" i="8"/>
  <c r="P694" i="8"/>
  <c r="T694" i="8"/>
  <c r="U694" i="8"/>
  <c r="O695" i="8"/>
  <c r="P695" i="8"/>
  <c r="Q695" i="8"/>
  <c r="Q692" i="8" s="1"/>
  <c r="T692" i="8" s="1"/>
  <c r="R695" i="8"/>
  <c r="R693" i="8" s="1"/>
  <c r="U693" i="8" s="1"/>
  <c r="S695" i="8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J705" i="8"/>
  <c r="J706" i="8"/>
  <c r="K706" i="8"/>
  <c r="I707" i="8"/>
  <c r="K707" i="8" s="1"/>
  <c r="J707" i="8"/>
  <c r="J689" i="8" s="1"/>
  <c r="J708" i="8"/>
  <c r="K708" i="8"/>
  <c r="I709" i="8"/>
  <c r="K709" i="8" s="1"/>
  <c r="J709" i="8"/>
  <c r="J710" i="8"/>
  <c r="K710" i="8"/>
  <c r="J712" i="8"/>
  <c r="K712" i="8"/>
  <c r="L715" i="8"/>
  <c r="M715" i="8"/>
  <c r="N715" i="8"/>
  <c r="Q715" i="8"/>
  <c r="T715" i="8" s="1"/>
  <c r="R715" i="8"/>
  <c r="S715" i="8"/>
  <c r="L716" i="8"/>
  <c r="M716" i="8"/>
  <c r="P716" i="8" s="1"/>
  <c r="N716" i="8"/>
  <c r="O716" i="8"/>
  <c r="Q716" i="8"/>
  <c r="T716" i="8" s="1"/>
  <c r="R716" i="8"/>
  <c r="S716" i="8"/>
  <c r="U716" i="8"/>
  <c r="L717" i="8"/>
  <c r="O717" i="8" s="1"/>
  <c r="M717" i="8"/>
  <c r="P717" i="8" s="1"/>
  <c r="N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M720" i="8"/>
  <c r="P720" i="8" s="1"/>
  <c r="N720" i="8"/>
  <c r="O720" i="8"/>
  <c r="Q720" i="8"/>
  <c r="T720" i="8" s="1"/>
  <c r="R720" i="8"/>
  <c r="S720" i="8"/>
  <c r="U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J727" i="8"/>
  <c r="M728" i="8"/>
  <c r="P728" i="8" s="1"/>
  <c r="L729" i="8"/>
  <c r="M729" i="8"/>
  <c r="P729" i="8" s="1"/>
  <c r="N729" i="8"/>
  <c r="Q729" i="8"/>
  <c r="R729" i="8"/>
  <c r="U729" i="8" s="1"/>
  <c r="S729" i="8"/>
  <c r="T729" i="8"/>
  <c r="L730" i="8"/>
  <c r="M730" i="8"/>
  <c r="N730" i="8"/>
  <c r="O730" i="8"/>
  <c r="P730" i="8"/>
  <c r="L731" i="8"/>
  <c r="M731" i="8"/>
  <c r="P731" i="8" s="1"/>
  <c r="N731" i="8"/>
  <c r="O731" i="8"/>
  <c r="O732" i="8"/>
  <c r="P732" i="8"/>
  <c r="T732" i="8"/>
  <c r="U732" i="8"/>
  <c r="O733" i="8"/>
  <c r="P733" i="8"/>
  <c r="Q733" i="8"/>
  <c r="Q731" i="8" s="1"/>
  <c r="R733" i="8"/>
  <c r="R730" i="8" s="1"/>
  <c r="S733" i="8"/>
  <c r="S730" i="8" s="1"/>
  <c r="L734" i="8"/>
  <c r="O734" i="8" s="1"/>
  <c r="M734" i="8"/>
  <c r="N734" i="8"/>
  <c r="P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M760" i="8"/>
  <c r="P760" i="8" s="1"/>
  <c r="L761" i="8"/>
  <c r="M761" i="8"/>
  <c r="N761" i="8"/>
  <c r="N760" i="8" s="1"/>
  <c r="O761" i="8"/>
  <c r="P761" i="8"/>
  <c r="Q761" i="8"/>
  <c r="R761" i="8"/>
  <c r="S761" i="8"/>
  <c r="T761" i="8"/>
  <c r="U761" i="8"/>
  <c r="L762" i="8"/>
  <c r="O762" i="8" s="1"/>
  <c r="M762" i="8"/>
  <c r="N762" i="8"/>
  <c r="P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R765" i="8"/>
  <c r="R763" i="8" s="1"/>
  <c r="S765" i="8"/>
  <c r="S762" i="8" s="1"/>
  <c r="S760" i="8" s="1"/>
  <c r="L766" i="8"/>
  <c r="M766" i="8"/>
  <c r="N766" i="8"/>
  <c r="O766" i="8"/>
  <c r="P766" i="8"/>
  <c r="Q766" i="8"/>
  <c r="T766" i="8" s="1"/>
  <c r="R766" i="8"/>
  <c r="S766" i="8"/>
  <c r="U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N19" i="7" s="1"/>
  <c r="Q22" i="7"/>
  <c r="R22" i="7"/>
  <c r="S22" i="7"/>
  <c r="S19" i="7" s="1"/>
  <c r="U22" i="7"/>
  <c r="L25" i="7"/>
  <c r="M25" i="7"/>
  <c r="N25" i="7"/>
  <c r="O25" i="7"/>
  <c r="Q25" i="7"/>
  <c r="R25" i="7"/>
  <c r="U25" i="7" s="1"/>
  <c r="S25" i="7"/>
  <c r="T25" i="7"/>
  <c r="L45" i="7"/>
  <c r="O45" i="7" s="1"/>
  <c r="M45" i="7"/>
  <c r="N45" i="7"/>
  <c r="P45" i="7"/>
  <c r="Q45" i="7"/>
  <c r="Q44" i="7" s="1"/>
  <c r="T44" i="7" s="1"/>
  <c r="R45" i="7"/>
  <c r="U45" i="7" s="1"/>
  <c r="S45" i="7"/>
  <c r="T45" i="7"/>
  <c r="Q46" i="7"/>
  <c r="T46" i="7" s="1"/>
  <c r="R46" i="7"/>
  <c r="U46" i="7" s="1"/>
  <c r="S46" i="7"/>
  <c r="S44" i="7" s="1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M52" i="7"/>
  <c r="N52" i="7"/>
  <c r="T52" i="7"/>
  <c r="U52" i="7"/>
  <c r="R59" i="7"/>
  <c r="U59" i="7" s="1"/>
  <c r="L60" i="7"/>
  <c r="M60" i="7"/>
  <c r="P60" i="7" s="1"/>
  <c r="N60" i="7"/>
  <c r="O60" i="7"/>
  <c r="Q60" i="7"/>
  <c r="R60" i="7"/>
  <c r="S60" i="7"/>
  <c r="U60" i="7"/>
  <c r="Q61" i="7"/>
  <c r="T61" i="7" s="1"/>
  <c r="R61" i="7"/>
  <c r="U61" i="7" s="1"/>
  <c r="S61" i="7"/>
  <c r="Q62" i="7"/>
  <c r="R62" i="7"/>
  <c r="U62" i="7" s="1"/>
  <c r="S62" i="7"/>
  <c r="T62" i="7"/>
  <c r="O63" i="7"/>
  <c r="P63" i="7"/>
  <c r="T63" i="7"/>
  <c r="U63" i="7"/>
  <c r="L64" i="7"/>
  <c r="L62" i="7" s="1"/>
  <c r="M64" i="7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M67" i="7"/>
  <c r="N67" i="7"/>
  <c r="T67" i="7"/>
  <c r="U67" i="7"/>
  <c r="L73" i="7"/>
  <c r="O73" i="7" s="1"/>
  <c r="M73" i="7"/>
  <c r="N73" i="7"/>
  <c r="P73" i="7"/>
  <c r="Q73" i="7"/>
  <c r="R73" i="7"/>
  <c r="U73" i="7" s="1"/>
  <c r="S73" i="7"/>
  <c r="T73" i="7"/>
  <c r="O76" i="7"/>
  <c r="P76" i="7"/>
  <c r="T76" i="7"/>
  <c r="U76" i="7"/>
  <c r="L77" i="7"/>
  <c r="M77" i="7"/>
  <c r="M75" i="7" s="1"/>
  <c r="P75" i="7" s="1"/>
  <c r="N77" i="7"/>
  <c r="N75" i="7" s="1"/>
  <c r="Q77" i="7"/>
  <c r="R77" i="7"/>
  <c r="R75" i="7" s="1"/>
  <c r="U75" i="7" s="1"/>
  <c r="S77" i="7"/>
  <c r="O79" i="7"/>
  <c r="P79" i="7"/>
  <c r="T79" i="7"/>
  <c r="U79" i="7"/>
  <c r="L80" i="7"/>
  <c r="O80" i="7" s="1"/>
  <c r="M80" i="7"/>
  <c r="M78" i="7" s="1"/>
  <c r="P78" i="7" s="1"/>
  <c r="N80" i="7"/>
  <c r="N78" i="7" s="1"/>
  <c r="Q80" i="7"/>
  <c r="R80" i="7"/>
  <c r="U80" i="7" s="1"/>
  <c r="S80" i="7"/>
  <c r="J82" i="7"/>
  <c r="J70" i="7" s="1"/>
  <c r="J83" i="7"/>
  <c r="J71" i="7" s="1"/>
  <c r="I84" i="7"/>
  <c r="K84" i="7" s="1"/>
  <c r="I85" i="7"/>
  <c r="K85" i="7" s="1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O95" i="7"/>
  <c r="Q95" i="7"/>
  <c r="R95" i="7"/>
  <c r="U95" i="7" s="1"/>
  <c r="S95" i="7"/>
  <c r="T95" i="7"/>
  <c r="O98" i="7"/>
  <c r="P98" i="7"/>
  <c r="T98" i="7"/>
  <c r="U98" i="7"/>
  <c r="L99" i="7"/>
  <c r="M99" i="7"/>
  <c r="P99" i="7" s="1"/>
  <c r="N99" i="7"/>
  <c r="N97" i="7" s="1"/>
  <c r="Q99" i="7"/>
  <c r="R99" i="7"/>
  <c r="R97" i="7" s="1"/>
  <c r="U97" i="7" s="1"/>
  <c r="S99" i="7"/>
  <c r="S96" i="7" s="1"/>
  <c r="S94" i="7" s="1"/>
  <c r="Q100" i="7"/>
  <c r="T100" i="7" s="1"/>
  <c r="R100" i="7"/>
  <c r="U100" i="7" s="1"/>
  <c r="S100" i="7"/>
  <c r="O101" i="7"/>
  <c r="P101" i="7"/>
  <c r="T101" i="7"/>
  <c r="U101" i="7"/>
  <c r="L102" i="7"/>
  <c r="L100" i="7" s="1"/>
  <c r="O100" i="7" s="1"/>
  <c r="M102" i="7"/>
  <c r="M100" i="7" s="1"/>
  <c r="P100" i="7" s="1"/>
  <c r="N102" i="7"/>
  <c r="N100" i="7" s="1"/>
  <c r="T102" i="7"/>
  <c r="U102" i="7"/>
  <c r="I108" i="7"/>
  <c r="K108" i="7" s="1"/>
  <c r="I109" i="7"/>
  <c r="K109" i="7" s="1"/>
  <c r="I114" i="7"/>
  <c r="K114" i="7" s="1"/>
  <c r="J116" i="7"/>
  <c r="L118" i="7"/>
  <c r="O118" i="7" s="1"/>
  <c r="M118" i="7"/>
  <c r="P118" i="7" s="1"/>
  <c r="N118" i="7"/>
  <c r="Q118" i="7"/>
  <c r="T118" i="7" s="1"/>
  <c r="R118" i="7"/>
  <c r="U118" i="7" s="1"/>
  <c r="S118" i="7"/>
  <c r="O121" i="7"/>
  <c r="P121" i="7"/>
  <c r="T121" i="7"/>
  <c r="U121" i="7"/>
  <c r="L122" i="7"/>
  <c r="M122" i="7"/>
  <c r="N122" i="7"/>
  <c r="N120" i="7" s="1"/>
  <c r="Q122" i="7"/>
  <c r="R122" i="7"/>
  <c r="S122" i="7"/>
  <c r="O124" i="7"/>
  <c r="P124" i="7"/>
  <c r="T124" i="7"/>
  <c r="U124" i="7"/>
  <c r="L125" i="7"/>
  <c r="L123" i="7" s="1"/>
  <c r="M125" i="7"/>
  <c r="M123" i="7" s="1"/>
  <c r="N125" i="7"/>
  <c r="Q125" i="7"/>
  <c r="T125" i="7" s="1"/>
  <c r="R125" i="7"/>
  <c r="R123" i="7" s="1"/>
  <c r="U123" i="7" s="1"/>
  <c r="S125" i="7"/>
  <c r="S123" i="7" s="1"/>
  <c r="I127" i="7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O140" i="7"/>
  <c r="Q140" i="7"/>
  <c r="R140" i="7"/>
  <c r="U140" i="7" s="1"/>
  <c r="S140" i="7"/>
  <c r="T140" i="7"/>
  <c r="O143" i="7"/>
  <c r="P143" i="7"/>
  <c r="T143" i="7"/>
  <c r="U143" i="7"/>
  <c r="L144" i="7"/>
  <c r="O144" i="7" s="1"/>
  <c r="M144" i="7"/>
  <c r="P144" i="7" s="1"/>
  <c r="N144" i="7"/>
  <c r="N142" i="7" s="1"/>
  <c r="Q144" i="7"/>
  <c r="Q142" i="7" s="1"/>
  <c r="T142" i="7" s="1"/>
  <c r="R144" i="7"/>
  <c r="R142" i="7" s="1"/>
  <c r="U142" i="7" s="1"/>
  <c r="S144" i="7"/>
  <c r="S142" i="7" s="1"/>
  <c r="O146" i="7"/>
  <c r="P146" i="7"/>
  <c r="T146" i="7"/>
  <c r="U146" i="7"/>
  <c r="L147" i="7"/>
  <c r="L145" i="7" s="1"/>
  <c r="O145" i="7" s="1"/>
  <c r="M147" i="7"/>
  <c r="N147" i="7"/>
  <c r="N145" i="7" s="1"/>
  <c r="Q147" i="7"/>
  <c r="T147" i="7" s="1"/>
  <c r="R147" i="7"/>
  <c r="U147" i="7" s="1"/>
  <c r="S147" i="7"/>
  <c r="S145" i="7" s="1"/>
  <c r="I150" i="7"/>
  <c r="K150" i="7" s="1"/>
  <c r="I151" i="7"/>
  <c r="K151" i="7" s="1"/>
  <c r="I152" i="7"/>
  <c r="I137" i="7" s="1"/>
  <c r="K137" i="7" s="1"/>
  <c r="I153" i="7"/>
  <c r="I154" i="7"/>
  <c r="I136" i="7" s="1"/>
  <c r="K136" i="7" s="1"/>
  <c r="J156" i="7"/>
  <c r="L158" i="7"/>
  <c r="O158" i="7" s="1"/>
  <c r="M158" i="7"/>
  <c r="P158" i="7" s="1"/>
  <c r="N158" i="7"/>
  <c r="Q158" i="7"/>
  <c r="R158" i="7"/>
  <c r="S158" i="7"/>
  <c r="T158" i="7"/>
  <c r="O161" i="7"/>
  <c r="P161" i="7"/>
  <c r="T161" i="7"/>
  <c r="U161" i="7"/>
  <c r="L162" i="7"/>
  <c r="L160" i="7" s="1"/>
  <c r="O160" i="7" s="1"/>
  <c r="M162" i="7"/>
  <c r="P162" i="7" s="1"/>
  <c r="N162" i="7"/>
  <c r="Q162" i="7"/>
  <c r="R162" i="7"/>
  <c r="R159" i="7" s="1"/>
  <c r="U159" i="7" s="1"/>
  <c r="S162" i="7"/>
  <c r="S159" i="7" s="1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M163" i="7" s="1"/>
  <c r="P163" i="7" s="1"/>
  <c r="N165" i="7"/>
  <c r="N163" i="7" s="1"/>
  <c r="T165" i="7"/>
  <c r="U165" i="7"/>
  <c r="I167" i="7"/>
  <c r="K167" i="7" s="1"/>
  <c r="I168" i="7"/>
  <c r="K168" i="7" s="1"/>
  <c r="I169" i="7"/>
  <c r="I156" i="7" s="1"/>
  <c r="K156" i="7" s="1"/>
  <c r="J172" i="7"/>
  <c r="L174" i="7"/>
  <c r="M174" i="7"/>
  <c r="N174" i="7"/>
  <c r="O174" i="7"/>
  <c r="Q174" i="7"/>
  <c r="T174" i="7" s="1"/>
  <c r="R174" i="7"/>
  <c r="S174" i="7"/>
  <c r="U174" i="7"/>
  <c r="O177" i="7"/>
  <c r="P177" i="7"/>
  <c r="T177" i="7"/>
  <c r="U177" i="7"/>
  <c r="L178" i="7"/>
  <c r="L176" i="7" s="1"/>
  <c r="M178" i="7"/>
  <c r="M176" i="7" s="1"/>
  <c r="N178" i="7"/>
  <c r="Q178" i="7"/>
  <c r="Q176" i="7" s="1"/>
  <c r="R178" i="7"/>
  <c r="R175" i="7" s="1"/>
  <c r="S178" i="7"/>
  <c r="S175" i="7" s="1"/>
  <c r="Q179" i="7"/>
  <c r="T179" i="7" s="1"/>
  <c r="R179" i="7"/>
  <c r="U179" i="7" s="1"/>
  <c r="S179" i="7"/>
  <c r="O180" i="7"/>
  <c r="P180" i="7"/>
  <c r="T180" i="7"/>
  <c r="U180" i="7"/>
  <c r="L181" i="7"/>
  <c r="M181" i="7"/>
  <c r="M179" i="7" s="1"/>
  <c r="P179" i="7" s="1"/>
  <c r="N181" i="7"/>
  <c r="N179" i="7" s="1"/>
  <c r="T181" i="7"/>
  <c r="U181" i="7"/>
  <c r="I183" i="7"/>
  <c r="I172" i="7" s="1"/>
  <c r="K172" i="7" s="1"/>
  <c r="K184" i="7"/>
  <c r="L187" i="7"/>
  <c r="O187" i="7" s="1"/>
  <c r="M187" i="7"/>
  <c r="N187" i="7"/>
  <c r="Q187" i="7"/>
  <c r="T187" i="7" s="1"/>
  <c r="R187" i="7"/>
  <c r="S187" i="7"/>
  <c r="U187" i="7"/>
  <c r="O190" i="7"/>
  <c r="P190" i="7"/>
  <c r="T190" i="7"/>
  <c r="U190" i="7"/>
  <c r="L191" i="7"/>
  <c r="M191" i="7"/>
  <c r="N191" i="7"/>
  <c r="Q191" i="7"/>
  <c r="R191" i="7"/>
  <c r="S191" i="7"/>
  <c r="S189" i="7" s="1"/>
  <c r="O193" i="7"/>
  <c r="P193" i="7"/>
  <c r="T193" i="7"/>
  <c r="U193" i="7"/>
  <c r="L194" i="7"/>
  <c r="O194" i="7" s="1"/>
  <c r="M194" i="7"/>
  <c r="P194" i="7" s="1"/>
  <c r="N194" i="7"/>
  <c r="N192" i="7" s="1"/>
  <c r="Q194" i="7"/>
  <c r="R194" i="7"/>
  <c r="U194" i="7" s="1"/>
  <c r="S194" i="7"/>
  <c r="J195" i="7"/>
  <c r="L196" i="7"/>
  <c r="O196" i="7" s="1"/>
  <c r="P196" i="7"/>
  <c r="I198" i="7"/>
  <c r="I195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K209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I213" i="7" s="1"/>
  <c r="K213" i="7" s="1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K230" i="7" s="1"/>
  <c r="N233" i="7"/>
  <c r="N234" i="7"/>
  <c r="N235" i="7"/>
  <c r="N236" i="7"/>
  <c r="J238" i="7"/>
  <c r="I240" i="7"/>
  <c r="K240" i="7" s="1"/>
  <c r="J240" i="7"/>
  <c r="I241" i="7"/>
  <c r="J241" i="7"/>
  <c r="K241" i="7"/>
  <c r="J242" i="7"/>
  <c r="N243" i="7"/>
  <c r="P243" i="7"/>
  <c r="L244" i="7"/>
  <c r="L245" i="7"/>
  <c r="L246" i="7"/>
  <c r="L247" i="7"/>
  <c r="I249" i="7"/>
  <c r="K249" i="7" s="1"/>
  <c r="K251" i="7"/>
  <c r="K252" i="7"/>
  <c r="J253" i="7"/>
  <c r="J231" i="7" s="1"/>
  <c r="J185" i="7" s="1"/>
  <c r="N254" i="7"/>
  <c r="P254" i="7"/>
  <c r="L255" i="7"/>
  <c r="L256" i="7"/>
  <c r="L257" i="7"/>
  <c r="L258" i="7"/>
  <c r="I260" i="7"/>
  <c r="I253" i="7" s="1"/>
  <c r="K253" i="7" s="1"/>
  <c r="K262" i="7"/>
  <c r="K263" i="7"/>
  <c r="J265" i="7"/>
  <c r="L267" i="7"/>
  <c r="O267" i="7" s="1"/>
  <c r="M267" i="7"/>
  <c r="N267" i="7"/>
  <c r="P267" i="7"/>
  <c r="Q267" i="7"/>
  <c r="R267" i="7"/>
  <c r="U267" i="7" s="1"/>
  <c r="S267" i="7"/>
  <c r="O270" i="7"/>
  <c r="P270" i="7"/>
  <c r="T270" i="7"/>
  <c r="U270" i="7"/>
  <c r="L271" i="7"/>
  <c r="M271" i="7"/>
  <c r="N271" i="7"/>
  <c r="Q271" i="7"/>
  <c r="Q268" i="7" s="1"/>
  <c r="R271" i="7"/>
  <c r="S271" i="7"/>
  <c r="S268" i="7" s="1"/>
  <c r="S266" i="7" s="1"/>
  <c r="Q272" i="7"/>
  <c r="R272" i="7"/>
  <c r="S272" i="7"/>
  <c r="T272" i="7"/>
  <c r="U272" i="7"/>
  <c r="O273" i="7"/>
  <c r="P273" i="7"/>
  <c r="T273" i="7"/>
  <c r="U273" i="7"/>
  <c r="L274" i="7"/>
  <c r="M274" i="7"/>
  <c r="M272" i="7" s="1"/>
  <c r="P272" i="7" s="1"/>
  <c r="N274" i="7"/>
  <c r="N272" i="7" s="1"/>
  <c r="T274" i="7"/>
  <c r="U274" i="7"/>
  <c r="I276" i="7"/>
  <c r="J281" i="7"/>
  <c r="L283" i="7"/>
  <c r="M283" i="7"/>
  <c r="P283" i="7" s="1"/>
  <c r="N283" i="7"/>
  <c r="Q283" i="7"/>
  <c r="R283" i="7"/>
  <c r="S283" i="7"/>
  <c r="S282" i="7" s="1"/>
  <c r="Q284" i="7"/>
  <c r="T284" i="7" s="1"/>
  <c r="R284" i="7"/>
  <c r="U284" i="7" s="1"/>
  <c r="S284" i="7"/>
  <c r="Q285" i="7"/>
  <c r="R285" i="7"/>
  <c r="S285" i="7"/>
  <c r="T285" i="7"/>
  <c r="U285" i="7"/>
  <c r="O286" i="7"/>
  <c r="P286" i="7"/>
  <c r="T286" i="7"/>
  <c r="U286" i="7"/>
  <c r="L287" i="7"/>
  <c r="M287" i="7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L284" i="7" s="1"/>
  <c r="O284" i="7" s="1"/>
  <c r="M290" i="7"/>
  <c r="M288" i="7" s="1"/>
  <c r="P288" i="7" s="1"/>
  <c r="N290" i="7"/>
  <c r="N288" i="7" s="1"/>
  <c r="T290" i="7"/>
  <c r="U290" i="7"/>
  <c r="I292" i="7"/>
  <c r="I281" i="7" s="1"/>
  <c r="K281" i="7" s="1"/>
  <c r="I293" i="7"/>
  <c r="I280" i="7" s="1"/>
  <c r="K280" i="7" s="1"/>
  <c r="J293" i="7"/>
  <c r="J280" i="7" s="1"/>
  <c r="I295" i="7"/>
  <c r="K295" i="7" s="1"/>
  <c r="I296" i="7"/>
  <c r="K296" i="7" s="1"/>
  <c r="J302" i="7"/>
  <c r="L304" i="7"/>
  <c r="O304" i="7" s="1"/>
  <c r="M304" i="7"/>
  <c r="N304" i="7"/>
  <c r="P304" i="7"/>
  <c r="Q304" i="7"/>
  <c r="R304" i="7"/>
  <c r="U304" i="7" s="1"/>
  <c r="S304" i="7"/>
  <c r="O307" i="7"/>
  <c r="P307" i="7"/>
  <c r="T307" i="7"/>
  <c r="U307" i="7"/>
  <c r="L308" i="7"/>
  <c r="M308" i="7"/>
  <c r="N308" i="7"/>
  <c r="Q308" i="7"/>
  <c r="Q306" i="7" s="1"/>
  <c r="R308" i="7"/>
  <c r="S308" i="7"/>
  <c r="S305" i="7" s="1"/>
  <c r="S303" i="7" s="1"/>
  <c r="Q309" i="7"/>
  <c r="R309" i="7"/>
  <c r="S309" i="7"/>
  <c r="T309" i="7"/>
  <c r="U309" i="7"/>
  <c r="O310" i="7"/>
  <c r="P310" i="7"/>
  <c r="T310" i="7"/>
  <c r="U310" i="7"/>
  <c r="L311" i="7"/>
  <c r="M311" i="7"/>
  <c r="P311" i="7" s="1"/>
  <c r="N311" i="7"/>
  <c r="N309" i="7" s="1"/>
  <c r="T311" i="7"/>
  <c r="U311" i="7"/>
  <c r="I314" i="7"/>
  <c r="J319" i="7"/>
  <c r="L321" i="7"/>
  <c r="M321" i="7"/>
  <c r="N321" i="7"/>
  <c r="O321" i="7"/>
  <c r="Q321" i="7"/>
  <c r="T321" i="7" s="1"/>
  <c r="R321" i="7"/>
  <c r="U321" i="7" s="1"/>
  <c r="S321" i="7"/>
  <c r="S320" i="7" s="1"/>
  <c r="Q322" i="7"/>
  <c r="R322" i="7"/>
  <c r="R320" i="7" s="1"/>
  <c r="U320" i="7" s="1"/>
  <c r="S322" i="7"/>
  <c r="U322" i="7"/>
  <c r="Q323" i="7"/>
  <c r="T323" i="7" s="1"/>
  <c r="R323" i="7"/>
  <c r="U323" i="7" s="1"/>
  <c r="S323" i="7"/>
  <c r="O324" i="7"/>
  <c r="P324" i="7"/>
  <c r="T324" i="7"/>
  <c r="U324" i="7"/>
  <c r="L325" i="7"/>
  <c r="O325" i="7" s="1"/>
  <c r="M325" i="7"/>
  <c r="M323" i="7" s="1"/>
  <c r="P323" i="7" s="1"/>
  <c r="N325" i="7"/>
  <c r="N323" i="7" s="1"/>
  <c r="T325" i="7"/>
  <c r="U325" i="7"/>
  <c r="Q326" i="7"/>
  <c r="T326" i="7" s="1"/>
  <c r="R326" i="7"/>
  <c r="S326" i="7"/>
  <c r="U326" i="7"/>
  <c r="O327" i="7"/>
  <c r="P327" i="7"/>
  <c r="T327" i="7"/>
  <c r="U327" i="7"/>
  <c r="L328" i="7"/>
  <c r="L326" i="7" s="1"/>
  <c r="O326" i="7" s="1"/>
  <c r="M328" i="7"/>
  <c r="N328" i="7"/>
  <c r="N326" i="7" s="1"/>
  <c r="T328" i="7"/>
  <c r="U328" i="7"/>
  <c r="I330" i="7"/>
  <c r="I319" i="7" s="1"/>
  <c r="K319" i="7" s="1"/>
  <c r="L334" i="7"/>
  <c r="M334" i="7"/>
  <c r="N334" i="7"/>
  <c r="O334" i="7"/>
  <c r="P334" i="7"/>
  <c r="Q334" i="7"/>
  <c r="T334" i="7" s="1"/>
  <c r="R334" i="7"/>
  <c r="S334" i="7"/>
  <c r="U334" i="7"/>
  <c r="Q335" i="7"/>
  <c r="T335" i="7" s="1"/>
  <c r="R335" i="7"/>
  <c r="U335" i="7" s="1"/>
  <c r="S335" i="7"/>
  <c r="S333" i="7" s="1"/>
  <c r="Q336" i="7"/>
  <c r="R336" i="7"/>
  <c r="U336" i="7" s="1"/>
  <c r="S336" i="7"/>
  <c r="T336" i="7"/>
  <c r="O337" i="7"/>
  <c r="P337" i="7"/>
  <c r="T337" i="7"/>
  <c r="U337" i="7"/>
  <c r="L338" i="7"/>
  <c r="L336" i="7" s="1"/>
  <c r="M338" i="7"/>
  <c r="N338" i="7"/>
  <c r="N336" i="7" s="1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O341" i="7" s="1"/>
  <c r="M341" i="7"/>
  <c r="M339" i="7" s="1"/>
  <c r="P339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D354" i="7"/>
  <c r="L357" i="7"/>
  <c r="O357" i="7" s="1"/>
  <c r="M357" i="7"/>
  <c r="N357" i="7"/>
  <c r="Q357" i="7"/>
  <c r="R357" i="7"/>
  <c r="U357" i="7" s="1"/>
  <c r="S357" i="7"/>
  <c r="Q358" i="7"/>
  <c r="T358" i="7" s="1"/>
  <c r="R358" i="7"/>
  <c r="S358" i="7"/>
  <c r="U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M359" i="7" s="1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O364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65" i="7" s="1"/>
  <c r="J372" i="7"/>
  <c r="K372" i="7"/>
  <c r="D373" i="7"/>
  <c r="L376" i="7"/>
  <c r="M376" i="7"/>
  <c r="N376" i="7"/>
  <c r="P376" i="7"/>
  <c r="Q376" i="7"/>
  <c r="T376" i="7" s="1"/>
  <c r="R376" i="7"/>
  <c r="U376" i="7" s="1"/>
  <c r="S376" i="7"/>
  <c r="O379" i="7"/>
  <c r="P379" i="7"/>
  <c r="T379" i="7"/>
  <c r="U379" i="7"/>
  <c r="L380" i="7"/>
  <c r="M380" i="7"/>
  <c r="M378" i="7" s="1"/>
  <c r="N380" i="7"/>
  <c r="Q380" i="7"/>
  <c r="Q378" i="7" s="1"/>
  <c r="R380" i="7"/>
  <c r="R377" i="7" s="1"/>
  <c r="S380" i="7"/>
  <c r="S377" i="7" s="1"/>
  <c r="S375" i="7" s="1"/>
  <c r="Q381" i="7"/>
  <c r="T381" i="7" s="1"/>
  <c r="R381" i="7"/>
  <c r="U381" i="7" s="1"/>
  <c r="S381" i="7"/>
  <c r="O382" i="7"/>
  <c r="P382" i="7"/>
  <c r="T382" i="7"/>
  <c r="U382" i="7"/>
  <c r="L383" i="7"/>
  <c r="O383" i="7" s="1"/>
  <c r="M383" i="7"/>
  <c r="M381" i="7" s="1"/>
  <c r="P381" i="7" s="1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O393" i="7" s="1"/>
  <c r="M393" i="7"/>
  <c r="P393" i="7" s="1"/>
  <c r="N393" i="7"/>
  <c r="Q393" i="7"/>
  <c r="R393" i="7"/>
  <c r="U393" i="7" s="1"/>
  <c r="S393" i="7"/>
  <c r="T393" i="7"/>
  <c r="L394" i="7"/>
  <c r="O394" i="7" s="1"/>
  <c r="M394" i="7"/>
  <c r="N394" i="7"/>
  <c r="P394" i="7"/>
  <c r="L395" i="7"/>
  <c r="O395" i="7" s="1"/>
  <c r="M395" i="7"/>
  <c r="N395" i="7"/>
  <c r="P395" i="7"/>
  <c r="O396" i="7"/>
  <c r="P396" i="7"/>
  <c r="T396" i="7"/>
  <c r="U396" i="7"/>
  <c r="O397" i="7"/>
  <c r="P397" i="7"/>
  <c r="Q397" i="7"/>
  <c r="Q395" i="7" s="1"/>
  <c r="T395" i="7" s="1"/>
  <c r="R397" i="7"/>
  <c r="R394" i="7" s="1"/>
  <c r="U394" i="7" s="1"/>
  <c r="S397" i="7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O414" i="7" s="1"/>
  <c r="M414" i="7"/>
  <c r="N414" i="7"/>
  <c r="P414" i="7"/>
  <c r="Q414" i="7"/>
  <c r="R414" i="7"/>
  <c r="U414" i="7" s="1"/>
  <c r="S414" i="7"/>
  <c r="T414" i="7"/>
  <c r="O417" i="7"/>
  <c r="P417" i="7"/>
  <c r="T417" i="7"/>
  <c r="U417" i="7"/>
  <c r="L418" i="7"/>
  <c r="O418" i="7" s="1"/>
  <c r="M418" i="7"/>
  <c r="N418" i="7"/>
  <c r="Q418" i="7"/>
  <c r="Q416" i="7" s="1"/>
  <c r="T416" i="7" s="1"/>
  <c r="R418" i="7"/>
  <c r="U418" i="7" s="1"/>
  <c r="S418" i="7"/>
  <c r="Q419" i="7"/>
  <c r="T419" i="7" s="1"/>
  <c r="R419" i="7"/>
  <c r="S419" i="7"/>
  <c r="U419" i="7"/>
  <c r="O420" i="7"/>
  <c r="P420" i="7"/>
  <c r="T420" i="7"/>
  <c r="U420" i="7"/>
  <c r="L421" i="7"/>
  <c r="O421" i="7" s="1"/>
  <c r="M421" i="7"/>
  <c r="M419" i="7" s="1"/>
  <c r="P419" i="7" s="1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41" i="7"/>
  <c r="K441" i="7" s="1"/>
  <c r="J446" i="7"/>
  <c r="J440" i="7" s="1"/>
  <c r="J423" i="7" s="1"/>
  <c r="J412" i="7" s="1"/>
  <c r="J447" i="7"/>
  <c r="J441" i="7" s="1"/>
  <c r="I457" i="7"/>
  <c r="I456" i="7" s="1"/>
  <c r="K456" i="7" s="1"/>
  <c r="I458" i="7"/>
  <c r="K458" i="7" s="1"/>
  <c r="J459" i="7"/>
  <c r="J457" i="7" s="1"/>
  <c r="J456" i="7" s="1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M494" i="7"/>
  <c r="N494" i="7"/>
  <c r="P494" i="7"/>
  <c r="Q494" i="7"/>
  <c r="R494" i="7"/>
  <c r="S494" i="7"/>
  <c r="T494" i="7"/>
  <c r="O497" i="7"/>
  <c r="P497" i="7"/>
  <c r="T497" i="7"/>
  <c r="U497" i="7"/>
  <c r="L498" i="7"/>
  <c r="M498" i="7"/>
  <c r="P498" i="7" s="1"/>
  <c r="N498" i="7"/>
  <c r="N496" i="7" s="1"/>
  <c r="Q498" i="7"/>
  <c r="Q496" i="7" s="1"/>
  <c r="T496" i="7" s="1"/>
  <c r="R498" i="7"/>
  <c r="R495" i="7" s="1"/>
  <c r="U495" i="7" s="1"/>
  <c r="S498" i="7"/>
  <c r="S495" i="7" s="1"/>
  <c r="S493" i="7" s="1"/>
  <c r="Q499" i="7"/>
  <c r="R499" i="7"/>
  <c r="U499" i="7" s="1"/>
  <c r="S499" i="7"/>
  <c r="T499" i="7"/>
  <c r="O500" i="7"/>
  <c r="P500" i="7"/>
  <c r="T500" i="7"/>
  <c r="U500" i="7"/>
  <c r="L501" i="7"/>
  <c r="M501" i="7"/>
  <c r="P501" i="7" s="1"/>
  <c r="N501" i="7"/>
  <c r="N499" i="7" s="1"/>
  <c r="T501" i="7"/>
  <c r="U501" i="7"/>
  <c r="I503" i="7"/>
  <c r="I492" i="7" s="1"/>
  <c r="K492" i="7" s="1"/>
  <c r="I504" i="7"/>
  <c r="K504" i="7" s="1"/>
  <c r="I505" i="7"/>
  <c r="K505" i="7" s="1"/>
  <c r="I506" i="7"/>
  <c r="I507" i="7"/>
  <c r="K507" i="7" s="1"/>
  <c r="K508" i="7"/>
  <c r="I509" i="7"/>
  <c r="K509" i="7" s="1"/>
  <c r="I512" i="7"/>
  <c r="J512" i="7"/>
  <c r="K512" i="7"/>
  <c r="L514" i="7"/>
  <c r="M514" i="7"/>
  <c r="P514" i="7" s="1"/>
  <c r="N514" i="7"/>
  <c r="O514" i="7"/>
  <c r="Q514" i="7"/>
  <c r="Q513" i="7" s="1"/>
  <c r="T513" i="7" s="1"/>
  <c r="R514" i="7"/>
  <c r="S514" i="7"/>
  <c r="S513" i="7" s="1"/>
  <c r="T514" i="7"/>
  <c r="U514" i="7"/>
  <c r="Q515" i="7"/>
  <c r="T515" i="7" s="1"/>
  <c r="R515" i="7"/>
  <c r="S515" i="7"/>
  <c r="Q516" i="7"/>
  <c r="R516" i="7"/>
  <c r="U516" i="7" s="1"/>
  <c r="S516" i="7"/>
  <c r="T516" i="7"/>
  <c r="O517" i="7"/>
  <c r="P517" i="7"/>
  <c r="T517" i="7"/>
  <c r="U517" i="7"/>
  <c r="L518" i="7"/>
  <c r="M518" i="7"/>
  <c r="M516" i="7" s="1"/>
  <c r="P516" i="7" s="1"/>
  <c r="N518" i="7"/>
  <c r="N516" i="7" s="1"/>
  <c r="T518" i="7"/>
  <c r="U518" i="7"/>
  <c r="Q519" i="7"/>
  <c r="T519" i="7" s="1"/>
  <c r="R519" i="7"/>
  <c r="S519" i="7"/>
  <c r="U519" i="7"/>
  <c r="O520" i="7"/>
  <c r="P520" i="7"/>
  <c r="T520" i="7"/>
  <c r="U520" i="7"/>
  <c r="L521" i="7"/>
  <c r="M521" i="7"/>
  <c r="N521" i="7"/>
  <c r="N519" i="7" s="1"/>
  <c r="T521" i="7"/>
  <c r="U521" i="7"/>
  <c r="K523" i="7"/>
  <c r="K524" i="7"/>
  <c r="I533" i="7"/>
  <c r="K533" i="7" s="1"/>
  <c r="J533" i="7"/>
  <c r="S534" i="7"/>
  <c r="L535" i="7"/>
  <c r="M535" i="7"/>
  <c r="P535" i="7" s="1"/>
  <c r="N535" i="7"/>
  <c r="O535" i="7"/>
  <c r="Q535" i="7"/>
  <c r="R535" i="7"/>
  <c r="S535" i="7"/>
  <c r="Q536" i="7"/>
  <c r="T536" i="7" s="1"/>
  <c r="R536" i="7"/>
  <c r="U536" i="7" s="1"/>
  <c r="S536" i="7"/>
  <c r="Q537" i="7"/>
  <c r="T537" i="7" s="1"/>
  <c r="R537" i="7"/>
  <c r="U537" i="7" s="1"/>
  <c r="S537" i="7"/>
  <c r="O538" i="7"/>
  <c r="P538" i="7"/>
  <c r="T538" i="7"/>
  <c r="U538" i="7"/>
  <c r="L539" i="7"/>
  <c r="L537" i="7" s="1"/>
  <c r="O537" i="7" s="1"/>
  <c r="M539" i="7"/>
  <c r="P539" i="7" s="1"/>
  <c r="N539" i="7"/>
  <c r="N537" i="7" s="1"/>
  <c r="T539" i="7"/>
  <c r="U539" i="7"/>
  <c r="Q540" i="7"/>
  <c r="T540" i="7" s="1"/>
  <c r="R540" i="7"/>
  <c r="S540" i="7"/>
  <c r="U540" i="7"/>
  <c r="O541" i="7"/>
  <c r="P541" i="7"/>
  <c r="T541" i="7"/>
  <c r="U541" i="7"/>
  <c r="L542" i="7"/>
  <c r="O542" i="7" s="1"/>
  <c r="M542" i="7"/>
  <c r="N542" i="7"/>
  <c r="N540" i="7" s="1"/>
  <c r="T542" i="7"/>
  <c r="U542" i="7"/>
  <c r="I554" i="7"/>
  <c r="J554" i="7"/>
  <c r="K554" i="7"/>
  <c r="L556" i="7"/>
  <c r="M556" i="7"/>
  <c r="N556" i="7"/>
  <c r="Q556" i="7"/>
  <c r="Q555" i="7" s="1"/>
  <c r="T555" i="7" s="1"/>
  <c r="R556" i="7"/>
  <c r="S556" i="7"/>
  <c r="T556" i="7"/>
  <c r="Q557" i="7"/>
  <c r="R557" i="7"/>
  <c r="S557" i="7"/>
  <c r="T557" i="7"/>
  <c r="U557" i="7"/>
  <c r="Q558" i="7"/>
  <c r="T558" i="7" s="1"/>
  <c r="R558" i="7"/>
  <c r="U558" i="7" s="1"/>
  <c r="S558" i="7"/>
  <c r="O559" i="7"/>
  <c r="P559" i="7"/>
  <c r="T559" i="7"/>
  <c r="U559" i="7"/>
  <c r="L560" i="7"/>
  <c r="L558" i="7" s="1"/>
  <c r="O558" i="7" s="1"/>
  <c r="M560" i="7"/>
  <c r="N560" i="7"/>
  <c r="N558" i="7" s="1"/>
  <c r="T560" i="7"/>
  <c r="U560" i="7"/>
  <c r="Q561" i="7"/>
  <c r="R561" i="7"/>
  <c r="S561" i="7"/>
  <c r="T561" i="7"/>
  <c r="U561" i="7"/>
  <c r="O562" i="7"/>
  <c r="P562" i="7"/>
  <c r="T562" i="7"/>
  <c r="U562" i="7"/>
  <c r="L563" i="7"/>
  <c r="M563" i="7"/>
  <c r="P563" i="7" s="1"/>
  <c r="N563" i="7"/>
  <c r="N561" i="7" s="1"/>
  <c r="T563" i="7"/>
  <c r="U563" i="7"/>
  <c r="I575" i="7"/>
  <c r="J575" i="7"/>
  <c r="K575" i="7"/>
  <c r="L577" i="7"/>
  <c r="M577" i="7"/>
  <c r="N577" i="7"/>
  <c r="O577" i="7"/>
  <c r="P577" i="7"/>
  <c r="Q577" i="7"/>
  <c r="T577" i="7" s="1"/>
  <c r="R577" i="7"/>
  <c r="S577" i="7"/>
  <c r="S576" i="7" s="1"/>
  <c r="U577" i="7"/>
  <c r="Q578" i="7"/>
  <c r="R578" i="7"/>
  <c r="U578" i="7" s="1"/>
  <c r="S578" i="7"/>
  <c r="Q579" i="7"/>
  <c r="R579" i="7"/>
  <c r="U579" i="7" s="1"/>
  <c r="S579" i="7"/>
  <c r="T579" i="7"/>
  <c r="O580" i="7"/>
  <c r="P580" i="7"/>
  <c r="T580" i="7"/>
  <c r="U580" i="7"/>
  <c r="L581" i="7"/>
  <c r="M581" i="7"/>
  <c r="N581" i="7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L582" i="7" s="1"/>
  <c r="O582" i="7" s="1"/>
  <c r="M584" i="7"/>
  <c r="M582" i="7" s="1"/>
  <c r="P582" i="7" s="1"/>
  <c r="N584" i="7"/>
  <c r="N582" i="7" s="1"/>
  <c r="T584" i="7"/>
  <c r="U584" i="7"/>
  <c r="L600" i="7"/>
  <c r="M600" i="7"/>
  <c r="N600" i="7"/>
  <c r="O600" i="7"/>
  <c r="Q600" i="7"/>
  <c r="T600" i="7" s="1"/>
  <c r="R600" i="7"/>
  <c r="S600" i="7"/>
  <c r="U600" i="7"/>
  <c r="O603" i="7"/>
  <c r="P603" i="7"/>
  <c r="T603" i="7"/>
  <c r="U603" i="7"/>
  <c r="L604" i="7"/>
  <c r="M604" i="7"/>
  <c r="N604" i="7"/>
  <c r="N602" i="7" s="1"/>
  <c r="Q604" i="7"/>
  <c r="R604" i="7"/>
  <c r="S604" i="7"/>
  <c r="S602" i="7" s="1"/>
  <c r="O606" i="7"/>
  <c r="P606" i="7"/>
  <c r="T606" i="7"/>
  <c r="U606" i="7"/>
  <c r="L607" i="7"/>
  <c r="M607" i="7"/>
  <c r="P607" i="7" s="1"/>
  <c r="N607" i="7"/>
  <c r="N605" i="7" s="1"/>
  <c r="Q607" i="7"/>
  <c r="R607" i="7"/>
  <c r="S607" i="7"/>
  <c r="S605" i="7" s="1"/>
  <c r="L617" i="7"/>
  <c r="M617" i="7"/>
  <c r="N617" i="7"/>
  <c r="Q617" i="7"/>
  <c r="R617" i="7"/>
  <c r="S617" i="7"/>
  <c r="T617" i="7"/>
  <c r="L618" i="7"/>
  <c r="M618" i="7"/>
  <c r="N618" i="7"/>
  <c r="N616" i="7" s="1"/>
  <c r="O618" i="7"/>
  <c r="P618" i="7"/>
  <c r="L619" i="7"/>
  <c r="O619" i="7" s="1"/>
  <c r="M619" i="7"/>
  <c r="N619" i="7"/>
  <c r="P619" i="7"/>
  <c r="O620" i="7"/>
  <c r="P620" i="7"/>
  <c r="T620" i="7"/>
  <c r="U620" i="7"/>
  <c r="O621" i="7"/>
  <c r="P621" i="7"/>
  <c r="Q621" i="7"/>
  <c r="Q619" i="7" s="1"/>
  <c r="R621" i="7"/>
  <c r="S621" i="7"/>
  <c r="S619" i="7" s="1"/>
  <c r="L622" i="7"/>
  <c r="M622" i="7"/>
  <c r="P622" i="7" s="1"/>
  <c r="N622" i="7"/>
  <c r="O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15" i="7" s="1"/>
  <c r="I627" i="7"/>
  <c r="K627" i="7" s="1"/>
  <c r="I628" i="7"/>
  <c r="K628" i="7" s="1"/>
  <c r="J632" i="7"/>
  <c r="J626" i="7" s="1"/>
  <c r="I635" i="7"/>
  <c r="K635" i="7" s="1"/>
  <c r="J636" i="7"/>
  <c r="J635" i="7" s="1"/>
  <c r="L643" i="7"/>
  <c r="M643" i="7"/>
  <c r="P643" i="7" s="1"/>
  <c r="N643" i="7"/>
  <c r="Q643" i="7"/>
  <c r="R643" i="7"/>
  <c r="S643" i="7"/>
  <c r="L644" i="7"/>
  <c r="O644" i="7" s="1"/>
  <c r="M644" i="7"/>
  <c r="N644" i="7"/>
  <c r="L645" i="7"/>
  <c r="O645" i="7" s="1"/>
  <c r="M645" i="7"/>
  <c r="N645" i="7"/>
  <c r="P645" i="7"/>
  <c r="O646" i="7"/>
  <c r="P646" i="7"/>
  <c r="T646" i="7"/>
  <c r="U646" i="7"/>
  <c r="O647" i="7"/>
  <c r="P647" i="7"/>
  <c r="Q647" i="7"/>
  <c r="R647" i="7"/>
  <c r="R645" i="7" s="1"/>
  <c r="S647" i="7"/>
  <c r="S645" i="7" s="1"/>
  <c r="L648" i="7"/>
  <c r="O648" i="7" s="1"/>
  <c r="M648" i="7"/>
  <c r="P648" i="7" s="1"/>
  <c r="N648" i="7"/>
  <c r="Q648" i="7"/>
  <c r="R648" i="7"/>
  <c r="U648" i="7" s="1"/>
  <c r="S648" i="7"/>
  <c r="T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P691" i="7" s="1"/>
  <c r="N691" i="7"/>
  <c r="Q691" i="7"/>
  <c r="R691" i="7"/>
  <c r="S691" i="7"/>
  <c r="L692" i="7"/>
  <c r="M692" i="7"/>
  <c r="N692" i="7"/>
  <c r="O692" i="7"/>
  <c r="L693" i="7"/>
  <c r="O693" i="7" s="1"/>
  <c r="M693" i="7"/>
  <c r="N693" i="7"/>
  <c r="P693" i="7"/>
  <c r="O694" i="7"/>
  <c r="P694" i="7"/>
  <c r="T694" i="7"/>
  <c r="U694" i="7"/>
  <c r="O695" i="7"/>
  <c r="P695" i="7"/>
  <c r="Q695" i="7"/>
  <c r="R695" i="7"/>
  <c r="R693" i="7" s="1"/>
  <c r="U693" i="7" s="1"/>
  <c r="S695" i="7"/>
  <c r="S692" i="7" s="1"/>
  <c r="S690" i="7" s="1"/>
  <c r="L696" i="7"/>
  <c r="O696" i="7" s="1"/>
  <c r="M696" i="7"/>
  <c r="P696" i="7" s="1"/>
  <c r="N696" i="7"/>
  <c r="Q696" i="7"/>
  <c r="R696" i="7"/>
  <c r="U696" i="7" s="1"/>
  <c r="S696" i="7"/>
  <c r="T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K705" i="7" s="1"/>
  <c r="J705" i="7"/>
  <c r="J706" i="7"/>
  <c r="K706" i="7"/>
  <c r="I707" i="7"/>
  <c r="I689" i="7" s="1"/>
  <c r="K689" i="7" s="1"/>
  <c r="J707" i="7"/>
  <c r="J689" i="7" s="1"/>
  <c r="J708" i="7"/>
  <c r="K708" i="7"/>
  <c r="I709" i="7"/>
  <c r="K709" i="7" s="1"/>
  <c r="J709" i="7"/>
  <c r="J710" i="7"/>
  <c r="K710" i="7"/>
  <c r="J712" i="7"/>
  <c r="K712" i="7"/>
  <c r="L715" i="7"/>
  <c r="M715" i="7"/>
  <c r="M714" i="7" s="1"/>
  <c r="P714" i="7" s="1"/>
  <c r="N715" i="7"/>
  <c r="N714" i="7" s="1"/>
  <c r="Q715" i="7"/>
  <c r="T715" i="7" s="1"/>
  <c r="R715" i="7"/>
  <c r="U715" i="7" s="1"/>
  <c r="S715" i="7"/>
  <c r="S714" i="7" s="1"/>
  <c r="L716" i="7"/>
  <c r="O716" i="7" s="1"/>
  <c r="M716" i="7"/>
  <c r="P716" i="7" s="1"/>
  <c r="N716" i="7"/>
  <c r="Q716" i="7"/>
  <c r="R716" i="7"/>
  <c r="U716" i="7" s="1"/>
  <c r="S716" i="7"/>
  <c r="L717" i="7"/>
  <c r="M717" i="7"/>
  <c r="P717" i="7" s="1"/>
  <c r="N717" i="7"/>
  <c r="O717" i="7"/>
  <c r="Q717" i="7"/>
  <c r="R717" i="7"/>
  <c r="S717" i="7"/>
  <c r="T717" i="7"/>
  <c r="U717" i="7"/>
  <c r="O718" i="7"/>
  <c r="P718" i="7"/>
  <c r="T718" i="7"/>
  <c r="U718" i="7"/>
  <c r="O719" i="7"/>
  <c r="P719" i="7"/>
  <c r="T719" i="7"/>
  <c r="U719" i="7"/>
  <c r="L720" i="7"/>
  <c r="M720" i="7"/>
  <c r="P720" i="7" s="1"/>
  <c r="N720" i="7"/>
  <c r="O720" i="7"/>
  <c r="Q720" i="7"/>
  <c r="T720" i="7" s="1"/>
  <c r="R720" i="7"/>
  <c r="S720" i="7"/>
  <c r="U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M729" i="7"/>
  <c r="M728" i="7" s="1"/>
  <c r="P728" i="7" s="1"/>
  <c r="N729" i="7"/>
  <c r="N728" i="7" s="1"/>
  <c r="Q729" i="7"/>
  <c r="T729" i="7" s="1"/>
  <c r="R729" i="7"/>
  <c r="S729" i="7"/>
  <c r="U729" i="7"/>
  <c r="L730" i="7"/>
  <c r="O730" i="7" s="1"/>
  <c r="M730" i="7"/>
  <c r="P730" i="7" s="1"/>
  <c r="N730" i="7"/>
  <c r="L731" i="7"/>
  <c r="M731" i="7"/>
  <c r="P731" i="7" s="1"/>
  <c r="N731" i="7"/>
  <c r="O731" i="7"/>
  <c r="O732" i="7"/>
  <c r="P732" i="7"/>
  <c r="T732" i="7"/>
  <c r="U732" i="7"/>
  <c r="O733" i="7"/>
  <c r="P733" i="7"/>
  <c r="Q733" i="7"/>
  <c r="Q730" i="7" s="1"/>
  <c r="R733" i="7"/>
  <c r="R731" i="7" s="1"/>
  <c r="S733" i="7"/>
  <c r="L734" i="7"/>
  <c r="O734" i="7" s="1"/>
  <c r="M734" i="7"/>
  <c r="P734" i="7" s="1"/>
  <c r="N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P761" i="7" s="1"/>
  <c r="N761" i="7"/>
  <c r="N760" i="7" s="1"/>
  <c r="Q761" i="7"/>
  <c r="R761" i="7"/>
  <c r="U761" i="7" s="1"/>
  <c r="S761" i="7"/>
  <c r="L762" i="7"/>
  <c r="M762" i="7"/>
  <c r="P762" i="7" s="1"/>
  <c r="N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R762" i="7" s="1"/>
  <c r="S765" i="7"/>
  <c r="S763" i="7" s="1"/>
  <c r="L766" i="7"/>
  <c r="O766" i="7" s="1"/>
  <c r="M766" i="7"/>
  <c r="P766" i="7" s="1"/>
  <c r="N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K772" i="7" s="1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L19" i="6" s="1"/>
  <c r="M22" i="6"/>
  <c r="P22" i="6" s="1"/>
  <c r="N22" i="6"/>
  <c r="Q22" i="6"/>
  <c r="R22" i="6"/>
  <c r="U22" i="6" s="1"/>
  <c r="S22" i="6"/>
  <c r="L25" i="6"/>
  <c r="O25" i="6" s="1"/>
  <c r="M25" i="6"/>
  <c r="N25" i="6"/>
  <c r="Q25" i="6"/>
  <c r="T25" i="6" s="1"/>
  <c r="R25" i="6"/>
  <c r="R19" i="6" s="1"/>
  <c r="U19" i="6" s="1"/>
  <c r="S25" i="6"/>
  <c r="R44" i="6"/>
  <c r="U44" i="6" s="1"/>
  <c r="L45" i="6"/>
  <c r="O45" i="6" s="1"/>
  <c r="M45" i="6"/>
  <c r="N45" i="6"/>
  <c r="P45" i="6"/>
  <c r="Q45" i="6"/>
  <c r="T45" i="6" s="1"/>
  <c r="R45" i="6"/>
  <c r="U45" i="6" s="1"/>
  <c r="S45" i="6"/>
  <c r="Q46" i="6"/>
  <c r="R46" i="6"/>
  <c r="U46" i="6" s="1"/>
  <c r="S46" i="6"/>
  <c r="T46" i="6"/>
  <c r="Q47" i="6"/>
  <c r="R47" i="6"/>
  <c r="U47" i="6" s="1"/>
  <c r="S47" i="6"/>
  <c r="T47" i="6"/>
  <c r="O48" i="6"/>
  <c r="P48" i="6"/>
  <c r="T48" i="6"/>
  <c r="U48" i="6"/>
  <c r="L49" i="6"/>
  <c r="M49" i="6"/>
  <c r="M47" i="6" s="1"/>
  <c r="N49" i="6"/>
  <c r="N47" i="6" s="1"/>
  <c r="T49" i="6"/>
  <c r="U49" i="6"/>
  <c r="Q50" i="6"/>
  <c r="T50" i="6" s="1"/>
  <c r="R50" i="6"/>
  <c r="S50" i="6"/>
  <c r="U50" i="6"/>
  <c r="O51" i="6"/>
  <c r="P51" i="6"/>
  <c r="T51" i="6"/>
  <c r="U51" i="6"/>
  <c r="L52" i="6"/>
  <c r="M52" i="6"/>
  <c r="N52" i="6"/>
  <c r="N50" i="6" s="1"/>
  <c r="T52" i="6"/>
  <c r="U52" i="6"/>
  <c r="L60" i="6"/>
  <c r="O60" i="6" s="1"/>
  <c r="M60" i="6"/>
  <c r="N60" i="6"/>
  <c r="Q60" i="6"/>
  <c r="R60" i="6"/>
  <c r="U60" i="6" s="1"/>
  <c r="S60" i="6"/>
  <c r="T60" i="6"/>
  <c r="Q61" i="6"/>
  <c r="R61" i="6"/>
  <c r="U61" i="6" s="1"/>
  <c r="S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T64" i="6"/>
  <c r="U64" i="6"/>
  <c r="Q65" i="6"/>
  <c r="T65" i="6" s="1"/>
  <c r="R65" i="6"/>
  <c r="U65" i="6" s="1"/>
  <c r="S65" i="6"/>
  <c r="O66" i="6"/>
  <c r="P66" i="6"/>
  <c r="T66" i="6"/>
  <c r="U66" i="6"/>
  <c r="L67" i="6"/>
  <c r="L65" i="6" s="1"/>
  <c r="O65" i="6" s="1"/>
  <c r="M67" i="6"/>
  <c r="N67" i="6"/>
  <c r="N65" i="6" s="1"/>
  <c r="T67" i="6"/>
  <c r="U67" i="6"/>
  <c r="L73" i="6"/>
  <c r="M73" i="6"/>
  <c r="N73" i="6"/>
  <c r="O73" i="6"/>
  <c r="P73" i="6"/>
  <c r="Q73" i="6"/>
  <c r="R73" i="6"/>
  <c r="S73" i="6"/>
  <c r="U73" i="6"/>
  <c r="O76" i="6"/>
  <c r="P76" i="6"/>
  <c r="T76" i="6"/>
  <c r="U76" i="6"/>
  <c r="L77" i="6"/>
  <c r="O77" i="6" s="1"/>
  <c r="M77" i="6"/>
  <c r="N77" i="6"/>
  <c r="Q77" i="6"/>
  <c r="R77" i="6"/>
  <c r="U77" i="6" s="1"/>
  <c r="S77" i="6"/>
  <c r="S75" i="6" s="1"/>
  <c r="O79" i="6"/>
  <c r="P79" i="6"/>
  <c r="T79" i="6"/>
  <c r="U79" i="6"/>
  <c r="L80" i="6"/>
  <c r="O80" i="6" s="1"/>
  <c r="M80" i="6"/>
  <c r="M78" i="6" s="1"/>
  <c r="P78" i="6" s="1"/>
  <c r="N80" i="6"/>
  <c r="N78" i="6" s="1"/>
  <c r="Q80" i="6"/>
  <c r="R80" i="6"/>
  <c r="U80" i="6" s="1"/>
  <c r="S80" i="6"/>
  <c r="S78" i="6" s="1"/>
  <c r="J82" i="6"/>
  <c r="J70" i="6" s="1"/>
  <c r="J83" i="6"/>
  <c r="J71" i="6" s="1"/>
  <c r="I84" i="6"/>
  <c r="K84" i="6" s="1"/>
  <c r="I85" i="6"/>
  <c r="I86" i="6"/>
  <c r="K86" i="6" s="1"/>
  <c r="I87" i="6"/>
  <c r="K87" i="6" s="1"/>
  <c r="I88" i="6"/>
  <c r="I89" i="6"/>
  <c r="K89" i="6" s="1"/>
  <c r="I90" i="6"/>
  <c r="K90" i="6" s="1"/>
  <c r="J92" i="6"/>
  <c r="J93" i="6"/>
  <c r="L95" i="6"/>
  <c r="O95" i="6" s="1"/>
  <c r="M95" i="6"/>
  <c r="N95" i="6"/>
  <c r="P95" i="6"/>
  <c r="Q95" i="6"/>
  <c r="R95" i="6"/>
  <c r="S95" i="6"/>
  <c r="T95" i="6"/>
  <c r="O98" i="6"/>
  <c r="P98" i="6"/>
  <c r="T98" i="6"/>
  <c r="U98" i="6"/>
  <c r="L99" i="6"/>
  <c r="L97" i="6" s="1"/>
  <c r="M99" i="6"/>
  <c r="N99" i="6"/>
  <c r="N97" i="6" s="1"/>
  <c r="Q99" i="6"/>
  <c r="Q97" i="6" s="1"/>
  <c r="R99" i="6"/>
  <c r="R97" i="6" s="1"/>
  <c r="S99" i="6"/>
  <c r="S97" i="6" s="1"/>
  <c r="Q100" i="6"/>
  <c r="T100" i="6" s="1"/>
  <c r="R100" i="6"/>
  <c r="S100" i="6"/>
  <c r="U100" i="6"/>
  <c r="O101" i="6"/>
  <c r="P101" i="6"/>
  <c r="T101" i="6"/>
  <c r="U101" i="6"/>
  <c r="L102" i="6"/>
  <c r="O102" i="6" s="1"/>
  <c r="M102" i="6"/>
  <c r="M100" i="6" s="1"/>
  <c r="P100" i="6" s="1"/>
  <c r="N102" i="6"/>
  <c r="N100" i="6" s="1"/>
  <c r="T102" i="6"/>
  <c r="U102" i="6"/>
  <c r="I108" i="6"/>
  <c r="I92" i="6" s="1"/>
  <c r="K92" i="6" s="1"/>
  <c r="I109" i="6"/>
  <c r="I93" i="6" s="1"/>
  <c r="I113" i="6"/>
  <c r="K113" i="6" s="1"/>
  <c r="I114" i="6"/>
  <c r="K114" i="6" s="1"/>
  <c r="J116" i="6"/>
  <c r="L118" i="6"/>
  <c r="O118" i="6" s="1"/>
  <c r="M118" i="6"/>
  <c r="P118" i="6" s="1"/>
  <c r="N118" i="6"/>
  <c r="Q118" i="6"/>
  <c r="T118" i="6" s="1"/>
  <c r="R118" i="6"/>
  <c r="U118" i="6" s="1"/>
  <c r="S118" i="6"/>
  <c r="O121" i="6"/>
  <c r="P121" i="6"/>
  <c r="T121" i="6"/>
  <c r="U121" i="6"/>
  <c r="L122" i="6"/>
  <c r="M122" i="6"/>
  <c r="N122" i="6"/>
  <c r="N120" i="6" s="1"/>
  <c r="Q122" i="6"/>
  <c r="Q120" i="6" s="1"/>
  <c r="R122" i="6"/>
  <c r="S122" i="6"/>
  <c r="O124" i="6"/>
  <c r="P124" i="6"/>
  <c r="T124" i="6"/>
  <c r="U124" i="6"/>
  <c r="L125" i="6"/>
  <c r="M125" i="6"/>
  <c r="P125" i="6" s="1"/>
  <c r="N125" i="6"/>
  <c r="N123" i="6" s="1"/>
  <c r="Q125" i="6"/>
  <c r="R125" i="6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M140" i="6"/>
  <c r="P140" i="6" s="1"/>
  <c r="N140" i="6"/>
  <c r="O140" i="6"/>
  <c r="Q140" i="6"/>
  <c r="T140" i="6" s="1"/>
  <c r="R140" i="6"/>
  <c r="U140" i="6" s="1"/>
  <c r="S140" i="6"/>
  <c r="O143" i="6"/>
  <c r="P143" i="6"/>
  <c r="T143" i="6"/>
  <c r="U143" i="6"/>
  <c r="L144" i="6"/>
  <c r="M144" i="6"/>
  <c r="N144" i="6"/>
  <c r="N142" i="6" s="1"/>
  <c r="Q144" i="6"/>
  <c r="R144" i="6"/>
  <c r="S144" i="6"/>
  <c r="O146" i="6"/>
  <c r="P146" i="6"/>
  <c r="T146" i="6"/>
  <c r="U146" i="6"/>
  <c r="L147" i="6"/>
  <c r="M147" i="6"/>
  <c r="N147" i="6"/>
  <c r="N145" i="6" s="1"/>
  <c r="Q147" i="6"/>
  <c r="R147" i="6"/>
  <c r="S147" i="6"/>
  <c r="S145" i="6" s="1"/>
  <c r="I150" i="6"/>
  <c r="K150" i="6" s="1"/>
  <c r="I151" i="6"/>
  <c r="K151" i="6" s="1"/>
  <c r="I152" i="6"/>
  <c r="I137" i="6" s="1"/>
  <c r="K137" i="6" s="1"/>
  <c r="I153" i="6"/>
  <c r="K153" i="6" s="1"/>
  <c r="I154" i="6"/>
  <c r="K154" i="6" s="1"/>
  <c r="J156" i="6"/>
  <c r="L158" i="6"/>
  <c r="M158" i="6"/>
  <c r="N158" i="6"/>
  <c r="Q158" i="6"/>
  <c r="T158" i="6" s="1"/>
  <c r="R158" i="6"/>
  <c r="S158" i="6"/>
  <c r="O161" i="6"/>
  <c r="P161" i="6"/>
  <c r="T161" i="6"/>
  <c r="U161" i="6"/>
  <c r="L162" i="6"/>
  <c r="L160" i="6" s="1"/>
  <c r="O160" i="6" s="1"/>
  <c r="M162" i="6"/>
  <c r="M160" i="6" s="1"/>
  <c r="P160" i="6" s="1"/>
  <c r="N162" i="6"/>
  <c r="N160" i="6" s="1"/>
  <c r="Q162" i="6"/>
  <c r="R162" i="6"/>
  <c r="R160" i="6" s="1"/>
  <c r="U160" i="6" s="1"/>
  <c r="S162" i="6"/>
  <c r="Q163" i="6"/>
  <c r="T163" i="6" s="1"/>
  <c r="R163" i="6"/>
  <c r="U163" i="6" s="1"/>
  <c r="S163" i="6"/>
  <c r="O164" i="6"/>
  <c r="P164" i="6"/>
  <c r="T164" i="6"/>
  <c r="U164" i="6"/>
  <c r="L165" i="6"/>
  <c r="M165" i="6"/>
  <c r="P165" i="6" s="1"/>
  <c r="N165" i="6"/>
  <c r="N163" i="6" s="1"/>
  <c r="T165" i="6"/>
  <c r="U165" i="6"/>
  <c r="I167" i="6"/>
  <c r="K167" i="6" s="1"/>
  <c r="I168" i="6"/>
  <c r="K168" i="6" s="1"/>
  <c r="I169" i="6"/>
  <c r="I156" i="6" s="1"/>
  <c r="K156" i="6" s="1"/>
  <c r="J172" i="6"/>
  <c r="L174" i="6"/>
  <c r="M174" i="6"/>
  <c r="P174" i="6" s="1"/>
  <c r="N174" i="6"/>
  <c r="Q174" i="6"/>
  <c r="T174" i="6" s="1"/>
  <c r="R174" i="6"/>
  <c r="S174" i="6"/>
  <c r="O177" i="6"/>
  <c r="P177" i="6"/>
  <c r="T177" i="6"/>
  <c r="U177" i="6"/>
  <c r="L178" i="6"/>
  <c r="L176" i="6" s="1"/>
  <c r="M178" i="6"/>
  <c r="M176" i="6" s="1"/>
  <c r="N178" i="6"/>
  <c r="N176" i="6" s="1"/>
  <c r="Q178" i="6"/>
  <c r="R178" i="6"/>
  <c r="R176" i="6" s="1"/>
  <c r="U176" i="6" s="1"/>
  <c r="S178" i="6"/>
  <c r="S175" i="6" s="1"/>
  <c r="Q179" i="6"/>
  <c r="T179" i="6" s="1"/>
  <c r="R179" i="6"/>
  <c r="U179" i="6" s="1"/>
  <c r="S179" i="6"/>
  <c r="O180" i="6"/>
  <c r="P180" i="6"/>
  <c r="T180" i="6"/>
  <c r="U180" i="6"/>
  <c r="L181" i="6"/>
  <c r="L179" i="6" s="1"/>
  <c r="O179" i="6" s="1"/>
  <c r="M181" i="6"/>
  <c r="P181" i="6" s="1"/>
  <c r="N181" i="6"/>
  <c r="N179" i="6" s="1"/>
  <c r="T181" i="6"/>
  <c r="U181" i="6"/>
  <c r="I183" i="6"/>
  <c r="I172" i="6" s="1"/>
  <c r="K172" i="6" s="1"/>
  <c r="K184" i="6"/>
  <c r="L187" i="6"/>
  <c r="O187" i="6" s="1"/>
  <c r="M187" i="6"/>
  <c r="N187" i="6"/>
  <c r="Q187" i="6"/>
  <c r="R187" i="6"/>
  <c r="U187" i="6" s="1"/>
  <c r="S187" i="6"/>
  <c r="T187" i="6"/>
  <c r="O190" i="6"/>
  <c r="P190" i="6"/>
  <c r="T190" i="6"/>
  <c r="U190" i="6"/>
  <c r="L191" i="6"/>
  <c r="L189" i="6" s="1"/>
  <c r="M191" i="6"/>
  <c r="N191" i="6"/>
  <c r="Q191" i="6"/>
  <c r="Q189" i="6" s="1"/>
  <c r="T189" i="6" s="1"/>
  <c r="R191" i="6"/>
  <c r="S191" i="6"/>
  <c r="S189" i="6" s="1"/>
  <c r="O193" i="6"/>
  <c r="P193" i="6"/>
  <c r="T193" i="6"/>
  <c r="U193" i="6"/>
  <c r="L194" i="6"/>
  <c r="M194" i="6"/>
  <c r="N194" i="6"/>
  <c r="N192" i="6" s="1"/>
  <c r="Q194" i="6"/>
  <c r="Q192" i="6" s="1"/>
  <c r="T192" i="6" s="1"/>
  <c r="R194" i="6"/>
  <c r="S194" i="6"/>
  <c r="S192" i="6" s="1"/>
  <c r="J195" i="6"/>
  <c r="L196" i="6"/>
  <c r="O196" i="6" s="1"/>
  <c r="P196" i="6"/>
  <c r="I198" i="6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K209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K230" i="6" s="1"/>
  <c r="J231" i="6"/>
  <c r="J185" i="6" s="1"/>
  <c r="N233" i="6"/>
  <c r="N234" i="6"/>
  <c r="N235" i="6"/>
  <c r="N236" i="6"/>
  <c r="J238" i="6"/>
  <c r="I240" i="6"/>
  <c r="K240" i="6" s="1"/>
  <c r="J240" i="6"/>
  <c r="I241" i="6"/>
  <c r="J241" i="6"/>
  <c r="K241" i="6"/>
  <c r="J242" i="6"/>
  <c r="N243" i="6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K260" i="6" s="1"/>
  <c r="K262" i="6"/>
  <c r="K263" i="6"/>
  <c r="J265" i="6"/>
  <c r="L267" i="6"/>
  <c r="O267" i="6" s="1"/>
  <c r="M267" i="6"/>
  <c r="P267" i="6" s="1"/>
  <c r="N267" i="6"/>
  <c r="Q267" i="6"/>
  <c r="R267" i="6"/>
  <c r="U267" i="6" s="1"/>
  <c r="S267" i="6"/>
  <c r="O270" i="6"/>
  <c r="P270" i="6"/>
  <c r="T270" i="6"/>
  <c r="U270" i="6"/>
  <c r="L271" i="6"/>
  <c r="M271" i="6"/>
  <c r="N271" i="6"/>
  <c r="N269" i="6" s="1"/>
  <c r="Q271" i="6"/>
  <c r="Q268" i="6" s="1"/>
  <c r="R271" i="6"/>
  <c r="S271" i="6"/>
  <c r="S269" i="6" s="1"/>
  <c r="Q272" i="6"/>
  <c r="T272" i="6" s="1"/>
  <c r="R272" i="6"/>
  <c r="U272" i="6" s="1"/>
  <c r="S272" i="6"/>
  <c r="O273" i="6"/>
  <c r="P273" i="6"/>
  <c r="T273" i="6"/>
  <c r="U273" i="6"/>
  <c r="L274" i="6"/>
  <c r="O274" i="6" s="1"/>
  <c r="M274" i="6"/>
  <c r="M272" i="6" s="1"/>
  <c r="P272" i="6" s="1"/>
  <c r="N274" i="6"/>
  <c r="N272" i="6" s="1"/>
  <c r="T274" i="6"/>
  <c r="U274" i="6"/>
  <c r="I276" i="6"/>
  <c r="J281" i="6"/>
  <c r="L283" i="6"/>
  <c r="M283" i="6"/>
  <c r="N283" i="6"/>
  <c r="P283" i="6"/>
  <c r="Q283" i="6"/>
  <c r="R283" i="6"/>
  <c r="U283" i="6" s="1"/>
  <c r="S283" i="6"/>
  <c r="Q284" i="6"/>
  <c r="T284" i="6" s="1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M287" i="6"/>
  <c r="N287" i="6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P290" i="6" s="1"/>
  <c r="N290" i="6"/>
  <c r="N288" i="6" s="1"/>
  <c r="T290" i="6"/>
  <c r="U290" i="6"/>
  <c r="I292" i="6"/>
  <c r="I281" i="6" s="1"/>
  <c r="K281" i="6" s="1"/>
  <c r="I293" i="6"/>
  <c r="I280" i="6" s="1"/>
  <c r="K280" i="6" s="1"/>
  <c r="J293" i="6"/>
  <c r="J280" i="6" s="1"/>
  <c r="I295" i="6"/>
  <c r="K295" i="6" s="1"/>
  <c r="I296" i="6"/>
  <c r="K296" i="6" s="1"/>
  <c r="J302" i="6"/>
  <c r="L304" i="6"/>
  <c r="O304" i="6" s="1"/>
  <c r="M304" i="6"/>
  <c r="P304" i="6" s="1"/>
  <c r="N304" i="6"/>
  <c r="Q304" i="6"/>
  <c r="R304" i="6"/>
  <c r="U304" i="6" s="1"/>
  <c r="S304" i="6"/>
  <c r="O307" i="6"/>
  <c r="P307" i="6"/>
  <c r="T307" i="6"/>
  <c r="U307" i="6"/>
  <c r="L308" i="6"/>
  <c r="M308" i="6"/>
  <c r="N308" i="6"/>
  <c r="N306" i="6" s="1"/>
  <c r="Q308" i="6"/>
  <c r="R308" i="6"/>
  <c r="R306" i="6" s="1"/>
  <c r="U306" i="6" s="1"/>
  <c r="S308" i="6"/>
  <c r="S306" i="6" s="1"/>
  <c r="Q309" i="6"/>
  <c r="T309" i="6" s="1"/>
  <c r="R309" i="6"/>
  <c r="U309" i="6" s="1"/>
  <c r="S309" i="6"/>
  <c r="O310" i="6"/>
  <c r="P310" i="6"/>
  <c r="T310" i="6"/>
  <c r="U310" i="6"/>
  <c r="L311" i="6"/>
  <c r="M311" i="6"/>
  <c r="P311" i="6" s="1"/>
  <c r="N311" i="6"/>
  <c r="N309" i="6" s="1"/>
  <c r="T311" i="6"/>
  <c r="U311" i="6"/>
  <c r="I314" i="6"/>
  <c r="I302" i="6" s="1"/>
  <c r="K302" i="6" s="1"/>
  <c r="J319" i="6"/>
  <c r="L321" i="6"/>
  <c r="M321" i="6"/>
  <c r="P321" i="6" s="1"/>
  <c r="N321" i="6"/>
  <c r="Q321" i="6"/>
  <c r="T321" i="6" s="1"/>
  <c r="R321" i="6"/>
  <c r="S321" i="6"/>
  <c r="Q322" i="6"/>
  <c r="R322" i="6"/>
  <c r="U322" i="6" s="1"/>
  <c r="S322" i="6"/>
  <c r="T322" i="6"/>
  <c r="Q323" i="6"/>
  <c r="T323" i="6" s="1"/>
  <c r="R323" i="6"/>
  <c r="U323" i="6" s="1"/>
  <c r="S323" i="6"/>
  <c r="O324" i="6"/>
  <c r="P324" i="6"/>
  <c r="T324" i="6"/>
  <c r="U324" i="6"/>
  <c r="L325" i="6"/>
  <c r="O325" i="6" s="1"/>
  <c r="M325" i="6"/>
  <c r="M323" i="6" s="1"/>
  <c r="P323" i="6" s="1"/>
  <c r="N325" i="6"/>
  <c r="T325" i="6"/>
  <c r="U325" i="6"/>
  <c r="Q326" i="6"/>
  <c r="R326" i="6"/>
  <c r="S326" i="6"/>
  <c r="T326" i="6"/>
  <c r="U326" i="6"/>
  <c r="O327" i="6"/>
  <c r="P327" i="6"/>
  <c r="T327" i="6"/>
  <c r="U327" i="6"/>
  <c r="L328" i="6"/>
  <c r="M328" i="6"/>
  <c r="P328" i="6" s="1"/>
  <c r="N328" i="6"/>
  <c r="N326" i="6" s="1"/>
  <c r="T328" i="6"/>
  <c r="U328" i="6"/>
  <c r="I330" i="6"/>
  <c r="L334" i="6"/>
  <c r="M334" i="6"/>
  <c r="N334" i="6"/>
  <c r="O334" i="6"/>
  <c r="Q334" i="6"/>
  <c r="Q333" i="6" s="1"/>
  <c r="T333" i="6" s="1"/>
  <c r="R334" i="6"/>
  <c r="R333" i="6" s="1"/>
  <c r="U333" i="6" s="1"/>
  <c r="S334" i="6"/>
  <c r="U334" i="6"/>
  <c r="Q335" i="6"/>
  <c r="T335" i="6" s="1"/>
  <c r="R335" i="6"/>
  <c r="S335" i="6"/>
  <c r="U335" i="6"/>
  <c r="Q336" i="6"/>
  <c r="T336" i="6" s="1"/>
  <c r="R336" i="6"/>
  <c r="U336" i="6" s="1"/>
  <c r="S336" i="6"/>
  <c r="O337" i="6"/>
  <c r="P337" i="6"/>
  <c r="T337" i="6"/>
  <c r="U337" i="6"/>
  <c r="L338" i="6"/>
  <c r="M338" i="6"/>
  <c r="M336" i="6" s="1"/>
  <c r="N338" i="6"/>
  <c r="T338" i="6"/>
  <c r="U338" i="6"/>
  <c r="Q339" i="6"/>
  <c r="R339" i="6"/>
  <c r="U339" i="6" s="1"/>
  <c r="S339" i="6"/>
  <c r="T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L357" i="6"/>
  <c r="M357" i="6"/>
  <c r="N357" i="6"/>
  <c r="P357" i="6"/>
  <c r="Q357" i="6"/>
  <c r="R357" i="6"/>
  <c r="S357" i="6"/>
  <c r="Q358" i="6"/>
  <c r="R358" i="6"/>
  <c r="U358" i="6" s="1"/>
  <c r="S358" i="6"/>
  <c r="T358" i="6"/>
  <c r="Q359" i="6"/>
  <c r="T359" i="6" s="1"/>
  <c r="R359" i="6"/>
  <c r="S359" i="6"/>
  <c r="U359" i="6"/>
  <c r="O360" i="6"/>
  <c r="P360" i="6"/>
  <c r="T360" i="6"/>
  <c r="U360" i="6"/>
  <c r="L361" i="6"/>
  <c r="M361" i="6"/>
  <c r="N361" i="6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L358" i="6" s="1"/>
  <c r="M364" i="6"/>
  <c r="M362" i="6" s="1"/>
  <c r="P362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L376" i="6"/>
  <c r="M376" i="6"/>
  <c r="N376" i="6"/>
  <c r="Q376" i="6"/>
  <c r="R376" i="6"/>
  <c r="U376" i="6" s="1"/>
  <c r="S376" i="6"/>
  <c r="T376" i="6"/>
  <c r="O379" i="6"/>
  <c r="P379" i="6"/>
  <c r="T379" i="6"/>
  <c r="U379" i="6"/>
  <c r="L380" i="6"/>
  <c r="M380" i="6"/>
  <c r="P380" i="6" s="1"/>
  <c r="N380" i="6"/>
  <c r="Q380" i="6"/>
  <c r="Q378" i="6" s="1"/>
  <c r="R380" i="6"/>
  <c r="R378" i="6" s="1"/>
  <c r="S380" i="6"/>
  <c r="S377" i="6" s="1"/>
  <c r="Q381" i="6"/>
  <c r="T381" i="6" s="1"/>
  <c r="R381" i="6"/>
  <c r="U381" i="6" s="1"/>
  <c r="S381" i="6"/>
  <c r="O382" i="6"/>
  <c r="P382" i="6"/>
  <c r="T382" i="6"/>
  <c r="U382" i="6"/>
  <c r="L383" i="6"/>
  <c r="M383" i="6"/>
  <c r="N383" i="6"/>
  <c r="N381" i="6" s="1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K391" i="6" s="1"/>
  <c r="J391" i="6"/>
  <c r="L393" i="6"/>
  <c r="L392" i="6" s="1"/>
  <c r="O392" i="6" s="1"/>
  <c r="M393" i="6"/>
  <c r="N393" i="6"/>
  <c r="N392" i="6" s="1"/>
  <c r="O393" i="6"/>
  <c r="P393" i="6"/>
  <c r="Q393" i="6"/>
  <c r="R393" i="6"/>
  <c r="S393" i="6"/>
  <c r="T393" i="6"/>
  <c r="U393" i="6"/>
  <c r="L394" i="6"/>
  <c r="O394" i="6" s="1"/>
  <c r="M394" i="6"/>
  <c r="M392" i="6" s="1"/>
  <c r="P392" i="6" s="1"/>
  <c r="N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R397" i="6"/>
  <c r="R395" i="6" s="1"/>
  <c r="U395" i="6" s="1"/>
  <c r="S397" i="6"/>
  <c r="L398" i="6"/>
  <c r="O398" i="6" s="1"/>
  <c r="M398" i="6"/>
  <c r="P398" i="6" s="1"/>
  <c r="N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O414" i="6" s="1"/>
  <c r="M414" i="6"/>
  <c r="P414" i="6" s="1"/>
  <c r="N414" i="6"/>
  <c r="Q414" i="6"/>
  <c r="R414" i="6"/>
  <c r="U414" i="6" s="1"/>
  <c r="S414" i="6"/>
  <c r="T414" i="6"/>
  <c r="O417" i="6"/>
  <c r="P417" i="6"/>
  <c r="T417" i="6"/>
  <c r="U417" i="6"/>
  <c r="L418" i="6"/>
  <c r="M418" i="6"/>
  <c r="M416" i="6" s="1"/>
  <c r="N418" i="6"/>
  <c r="Q418" i="6"/>
  <c r="R418" i="6"/>
  <c r="S418" i="6"/>
  <c r="Q419" i="6"/>
  <c r="R419" i="6"/>
  <c r="U419" i="6" s="1"/>
  <c r="S419" i="6"/>
  <c r="T419" i="6"/>
  <c r="O420" i="6"/>
  <c r="P420" i="6"/>
  <c r="T420" i="6"/>
  <c r="U420" i="6"/>
  <c r="L421" i="6"/>
  <c r="O421" i="6" s="1"/>
  <c r="M421" i="6"/>
  <c r="N421" i="6"/>
  <c r="N419" i="6" s="1"/>
  <c r="T421" i="6"/>
  <c r="U421" i="6"/>
  <c r="I424" i="6"/>
  <c r="J424" i="6"/>
  <c r="I425" i="6"/>
  <c r="J425" i="6"/>
  <c r="I432" i="6"/>
  <c r="K432" i="6" s="1"/>
  <c r="J432" i="6"/>
  <c r="I433" i="6"/>
  <c r="J433" i="6"/>
  <c r="I440" i="6"/>
  <c r="J440" i="6"/>
  <c r="J423" i="6" s="1"/>
  <c r="J412" i="6" s="1"/>
  <c r="I441" i="6"/>
  <c r="J446" i="6"/>
  <c r="J447" i="6"/>
  <c r="J441" i="6" s="1"/>
  <c r="I457" i="6"/>
  <c r="K457" i="6" s="1"/>
  <c r="I458" i="6"/>
  <c r="K458" i="6" s="1"/>
  <c r="J459" i="6"/>
  <c r="J460" i="6"/>
  <c r="J458" i="6" s="1"/>
  <c r="J467" i="6"/>
  <c r="J457" i="6" s="1"/>
  <c r="J456" i="6" s="1"/>
  <c r="J468" i="6"/>
  <c r="J475" i="6"/>
  <c r="K475" i="6"/>
  <c r="J476" i="6"/>
  <c r="K476" i="6"/>
  <c r="J477" i="6"/>
  <c r="K477" i="6"/>
  <c r="J482" i="6"/>
  <c r="J483" i="6"/>
  <c r="I484" i="6"/>
  <c r="J484" i="6"/>
  <c r="K484" i="6"/>
  <c r="I485" i="6"/>
  <c r="K485" i="6" s="1"/>
  <c r="J485" i="6"/>
  <c r="L494" i="6"/>
  <c r="O494" i="6" s="1"/>
  <c r="M494" i="6"/>
  <c r="N494" i="6"/>
  <c r="Q494" i="6"/>
  <c r="T494" i="6" s="1"/>
  <c r="R494" i="6"/>
  <c r="U494" i="6" s="1"/>
  <c r="S494" i="6"/>
  <c r="O497" i="6"/>
  <c r="P497" i="6"/>
  <c r="T497" i="6"/>
  <c r="U497" i="6"/>
  <c r="L498" i="6"/>
  <c r="M498" i="6"/>
  <c r="N498" i="6"/>
  <c r="Q498" i="6"/>
  <c r="R498" i="6"/>
  <c r="R496" i="6" s="1"/>
  <c r="U496" i="6" s="1"/>
  <c r="S498" i="6"/>
  <c r="S495" i="6" s="1"/>
  <c r="Q499" i="6"/>
  <c r="T499" i="6" s="1"/>
  <c r="R499" i="6"/>
  <c r="U499" i="6" s="1"/>
  <c r="S499" i="6"/>
  <c r="O500" i="6"/>
  <c r="P500" i="6"/>
  <c r="T500" i="6"/>
  <c r="U500" i="6"/>
  <c r="L501" i="6"/>
  <c r="L499" i="6" s="1"/>
  <c r="O499" i="6" s="1"/>
  <c r="M501" i="6"/>
  <c r="M499" i="6" s="1"/>
  <c r="P499" i="6" s="1"/>
  <c r="N501" i="6"/>
  <c r="N499" i="6" s="1"/>
  <c r="T501" i="6"/>
  <c r="U501" i="6"/>
  <c r="I503" i="6"/>
  <c r="I492" i="6" s="1"/>
  <c r="K492" i="6" s="1"/>
  <c r="I504" i="6"/>
  <c r="K504" i="6" s="1"/>
  <c r="I505" i="6"/>
  <c r="K505" i="6" s="1"/>
  <c r="I506" i="6"/>
  <c r="I507" i="6"/>
  <c r="K507" i="6" s="1"/>
  <c r="K508" i="6"/>
  <c r="I509" i="6"/>
  <c r="K509" i="6" s="1"/>
  <c r="I512" i="6"/>
  <c r="K512" i="6" s="1"/>
  <c r="J512" i="6"/>
  <c r="L514" i="6"/>
  <c r="M514" i="6"/>
  <c r="N514" i="6"/>
  <c r="P514" i="6"/>
  <c r="Q514" i="6"/>
  <c r="T514" i="6" s="1"/>
  <c r="R514" i="6"/>
  <c r="S514" i="6"/>
  <c r="Q515" i="6"/>
  <c r="Q513" i="6" s="1"/>
  <c r="T513" i="6" s="1"/>
  <c r="R515" i="6"/>
  <c r="U515" i="6" s="1"/>
  <c r="S515" i="6"/>
  <c r="Q516" i="6"/>
  <c r="R516" i="6"/>
  <c r="U516" i="6" s="1"/>
  <c r="S516" i="6"/>
  <c r="T516" i="6"/>
  <c r="O517" i="6"/>
  <c r="P517" i="6"/>
  <c r="T517" i="6"/>
  <c r="U517" i="6"/>
  <c r="L518" i="6"/>
  <c r="L516" i="6" s="1"/>
  <c r="O516" i="6" s="1"/>
  <c r="M518" i="6"/>
  <c r="N518" i="6"/>
  <c r="N516" i="6" s="1"/>
  <c r="T518" i="6"/>
  <c r="U518" i="6"/>
  <c r="Q519" i="6"/>
  <c r="R519" i="6"/>
  <c r="U519" i="6" s="1"/>
  <c r="S519" i="6"/>
  <c r="T519" i="6"/>
  <c r="O520" i="6"/>
  <c r="P520" i="6"/>
  <c r="T520" i="6"/>
  <c r="U520" i="6"/>
  <c r="L521" i="6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O535" i="6" s="1"/>
  <c r="M535" i="6"/>
  <c r="N535" i="6"/>
  <c r="Q535" i="6"/>
  <c r="R535" i="6"/>
  <c r="S535" i="6"/>
  <c r="S534" i="6" s="1"/>
  <c r="Q536" i="6"/>
  <c r="R536" i="6"/>
  <c r="U536" i="6" s="1"/>
  <c r="S536" i="6"/>
  <c r="T536" i="6"/>
  <c r="Q537" i="6"/>
  <c r="T537" i="6" s="1"/>
  <c r="R537" i="6"/>
  <c r="U537" i="6" s="1"/>
  <c r="S537" i="6"/>
  <c r="O538" i="6"/>
  <c r="P538" i="6"/>
  <c r="T538" i="6"/>
  <c r="U538" i="6"/>
  <c r="L539" i="6"/>
  <c r="M539" i="6"/>
  <c r="M537" i="6" s="1"/>
  <c r="P537" i="6" s="1"/>
  <c r="N539" i="6"/>
  <c r="N537" i="6" s="1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M542" i="6"/>
  <c r="N542" i="6"/>
  <c r="N540" i="6" s="1"/>
  <c r="T542" i="6"/>
  <c r="U542" i="6"/>
  <c r="I554" i="6"/>
  <c r="K554" i="6" s="1"/>
  <c r="J554" i="6"/>
  <c r="L556" i="6"/>
  <c r="M556" i="6"/>
  <c r="P556" i="6" s="1"/>
  <c r="N556" i="6"/>
  <c r="O556" i="6"/>
  <c r="Q556" i="6"/>
  <c r="R556" i="6"/>
  <c r="S556" i="6"/>
  <c r="S555" i="6" s="1"/>
  <c r="T556" i="6"/>
  <c r="U556" i="6"/>
  <c r="Q557" i="6"/>
  <c r="T557" i="6" s="1"/>
  <c r="R557" i="6"/>
  <c r="U557" i="6" s="1"/>
  <c r="S557" i="6"/>
  <c r="Q558" i="6"/>
  <c r="T558" i="6" s="1"/>
  <c r="R558" i="6"/>
  <c r="S558" i="6"/>
  <c r="U558" i="6"/>
  <c r="O559" i="6"/>
  <c r="P559" i="6"/>
  <c r="T559" i="6"/>
  <c r="U559" i="6"/>
  <c r="L560" i="6"/>
  <c r="M560" i="6"/>
  <c r="N560" i="6"/>
  <c r="N558" i="6" s="1"/>
  <c r="T560" i="6"/>
  <c r="U560" i="6"/>
  <c r="Q561" i="6"/>
  <c r="T561" i="6" s="1"/>
  <c r="R561" i="6"/>
  <c r="S561" i="6"/>
  <c r="U561" i="6"/>
  <c r="O562" i="6"/>
  <c r="P562" i="6"/>
  <c r="T562" i="6"/>
  <c r="U562" i="6"/>
  <c r="L563" i="6"/>
  <c r="L561" i="6" s="1"/>
  <c r="O561" i="6" s="1"/>
  <c r="M563" i="6"/>
  <c r="P563" i="6" s="1"/>
  <c r="N563" i="6"/>
  <c r="N561" i="6" s="1"/>
  <c r="T563" i="6"/>
  <c r="U563" i="6"/>
  <c r="I575" i="6"/>
  <c r="K575" i="6" s="1"/>
  <c r="J575" i="6"/>
  <c r="L577" i="6"/>
  <c r="M577" i="6"/>
  <c r="N577" i="6"/>
  <c r="Q577" i="6"/>
  <c r="R577" i="6"/>
  <c r="U577" i="6" s="1"/>
  <c r="S577" i="6"/>
  <c r="T577" i="6"/>
  <c r="Q578" i="6"/>
  <c r="R578" i="6"/>
  <c r="S578" i="6"/>
  <c r="U578" i="6"/>
  <c r="Q579" i="6"/>
  <c r="T579" i="6" s="1"/>
  <c r="R579" i="6"/>
  <c r="U579" i="6" s="1"/>
  <c r="S579" i="6"/>
  <c r="O580" i="6"/>
  <c r="P580" i="6"/>
  <c r="T580" i="6"/>
  <c r="U580" i="6"/>
  <c r="L581" i="6"/>
  <c r="M581" i="6"/>
  <c r="N581" i="6"/>
  <c r="N579" i="6" s="1"/>
  <c r="T581" i="6"/>
  <c r="U581" i="6"/>
  <c r="Q582" i="6"/>
  <c r="R582" i="6"/>
  <c r="U582" i="6" s="1"/>
  <c r="S582" i="6"/>
  <c r="T582" i="6"/>
  <c r="O583" i="6"/>
  <c r="P583" i="6"/>
  <c r="T583" i="6"/>
  <c r="U583" i="6"/>
  <c r="L584" i="6"/>
  <c r="O584" i="6" s="1"/>
  <c r="M584" i="6"/>
  <c r="M582" i="6" s="1"/>
  <c r="P582" i="6" s="1"/>
  <c r="N584" i="6"/>
  <c r="N582" i="6" s="1"/>
  <c r="T584" i="6"/>
  <c r="U584" i="6"/>
  <c r="L600" i="6"/>
  <c r="M600" i="6"/>
  <c r="N600" i="6"/>
  <c r="Q600" i="6"/>
  <c r="T600" i="6" s="1"/>
  <c r="R600" i="6"/>
  <c r="S600" i="6"/>
  <c r="U600" i="6"/>
  <c r="O603" i="6"/>
  <c r="P603" i="6"/>
  <c r="T603" i="6"/>
  <c r="U603" i="6"/>
  <c r="L604" i="6"/>
  <c r="M604" i="6"/>
  <c r="M602" i="6" s="1"/>
  <c r="N604" i="6"/>
  <c r="Q604" i="6"/>
  <c r="Q602" i="6" s="1"/>
  <c r="T602" i="6" s="1"/>
  <c r="R604" i="6"/>
  <c r="R602" i="6" s="1"/>
  <c r="U602" i="6" s="1"/>
  <c r="S604" i="6"/>
  <c r="S602" i="6" s="1"/>
  <c r="O606" i="6"/>
  <c r="P606" i="6"/>
  <c r="T606" i="6"/>
  <c r="U606" i="6"/>
  <c r="L607" i="6"/>
  <c r="O607" i="6" s="1"/>
  <c r="M607" i="6"/>
  <c r="P607" i="6" s="1"/>
  <c r="N607" i="6"/>
  <c r="N605" i="6" s="1"/>
  <c r="Q607" i="6"/>
  <c r="T607" i="6" s="1"/>
  <c r="R607" i="6"/>
  <c r="U607" i="6" s="1"/>
  <c r="S607" i="6"/>
  <c r="S605" i="6" s="1"/>
  <c r="L617" i="6"/>
  <c r="M617" i="6"/>
  <c r="M616" i="6" s="1"/>
  <c r="P616" i="6" s="1"/>
  <c r="N617" i="6"/>
  <c r="N616" i="6" s="1"/>
  <c r="O617" i="6"/>
  <c r="Q617" i="6"/>
  <c r="T617" i="6" s="1"/>
  <c r="R617" i="6"/>
  <c r="S617" i="6"/>
  <c r="U617" i="6"/>
  <c r="L618" i="6"/>
  <c r="O618" i="6" s="1"/>
  <c r="M618" i="6"/>
  <c r="P618" i="6" s="1"/>
  <c r="N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R621" i="6"/>
  <c r="R618" i="6" s="1"/>
  <c r="S621" i="6"/>
  <c r="S619" i="6" s="1"/>
  <c r="L622" i="6"/>
  <c r="O622" i="6" s="1"/>
  <c r="M622" i="6"/>
  <c r="P622" i="6" s="1"/>
  <c r="N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J626" i="6"/>
  <c r="J615" i="6" s="1"/>
  <c r="I627" i="6"/>
  <c r="K627" i="6" s="1"/>
  <c r="I628" i="6"/>
  <c r="K628" i="6" s="1"/>
  <c r="J632" i="6"/>
  <c r="I635" i="6"/>
  <c r="K635" i="6" s="1"/>
  <c r="J636" i="6"/>
  <c r="J635" i="6" s="1"/>
  <c r="L643" i="6"/>
  <c r="L642" i="6" s="1"/>
  <c r="O642" i="6" s="1"/>
  <c r="M643" i="6"/>
  <c r="M642" i="6" s="1"/>
  <c r="P642" i="6" s="1"/>
  <c r="N643" i="6"/>
  <c r="P643" i="6"/>
  <c r="Q643" i="6"/>
  <c r="R643" i="6"/>
  <c r="U643" i="6" s="1"/>
  <c r="S643" i="6"/>
  <c r="T643" i="6"/>
  <c r="L644" i="6"/>
  <c r="O644" i="6" s="1"/>
  <c r="M644" i="6"/>
  <c r="N644" i="6"/>
  <c r="P644" i="6"/>
  <c r="L645" i="6"/>
  <c r="M645" i="6"/>
  <c r="P645" i="6" s="1"/>
  <c r="N645" i="6"/>
  <c r="O645" i="6"/>
  <c r="O646" i="6"/>
  <c r="P646" i="6"/>
  <c r="T646" i="6"/>
  <c r="U646" i="6"/>
  <c r="O647" i="6"/>
  <c r="P647" i="6"/>
  <c r="Q647" i="6"/>
  <c r="Q645" i="6" s="1"/>
  <c r="T645" i="6" s="1"/>
  <c r="R647" i="6"/>
  <c r="R645" i="6" s="1"/>
  <c r="U645" i="6" s="1"/>
  <c r="S647" i="6"/>
  <c r="S645" i="6" s="1"/>
  <c r="L648" i="6"/>
  <c r="O648" i="6" s="1"/>
  <c r="M648" i="6"/>
  <c r="N648" i="6"/>
  <c r="P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N691" i="6"/>
  <c r="Q691" i="6"/>
  <c r="R691" i="6"/>
  <c r="S691" i="6"/>
  <c r="L692" i="6"/>
  <c r="M692" i="6"/>
  <c r="P692" i="6" s="1"/>
  <c r="N692" i="6"/>
  <c r="O692" i="6"/>
  <c r="L693" i="6"/>
  <c r="O693" i="6" s="1"/>
  <c r="M693" i="6"/>
  <c r="N693" i="6"/>
  <c r="P693" i="6"/>
  <c r="O694" i="6"/>
  <c r="P694" i="6"/>
  <c r="T694" i="6"/>
  <c r="U694" i="6"/>
  <c r="O695" i="6"/>
  <c r="P695" i="6"/>
  <c r="Q695" i="6"/>
  <c r="R695" i="6"/>
  <c r="R693" i="6" s="1"/>
  <c r="U693" i="6" s="1"/>
  <c r="S695" i="6"/>
  <c r="S693" i="6" s="1"/>
  <c r="L696" i="6"/>
  <c r="O696" i="6" s="1"/>
  <c r="M696" i="6"/>
  <c r="P696" i="6" s="1"/>
  <c r="N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K705" i="6" s="1"/>
  <c r="J705" i="6"/>
  <c r="J706" i="6"/>
  <c r="K706" i="6"/>
  <c r="I707" i="6"/>
  <c r="I689" i="6" s="1"/>
  <c r="K689" i="6" s="1"/>
  <c r="J707" i="6"/>
  <c r="J689" i="6" s="1"/>
  <c r="J708" i="6"/>
  <c r="K708" i="6"/>
  <c r="I709" i="6"/>
  <c r="K709" i="6" s="1"/>
  <c r="J709" i="6"/>
  <c r="J710" i="6"/>
  <c r="K710" i="6"/>
  <c r="J712" i="6"/>
  <c r="K712" i="6"/>
  <c r="S714" i="6"/>
  <c r="L715" i="6"/>
  <c r="M715" i="6"/>
  <c r="M714" i="6" s="1"/>
  <c r="P714" i="6" s="1"/>
  <c r="N715" i="6"/>
  <c r="N714" i="6" s="1"/>
  <c r="O715" i="6"/>
  <c r="Q715" i="6"/>
  <c r="R715" i="6"/>
  <c r="S715" i="6"/>
  <c r="U715" i="6"/>
  <c r="L716" i="6"/>
  <c r="O716" i="6" s="1"/>
  <c r="M716" i="6"/>
  <c r="P716" i="6" s="1"/>
  <c r="N716" i="6"/>
  <c r="Q716" i="6"/>
  <c r="T716" i="6" s="1"/>
  <c r="R716" i="6"/>
  <c r="U716" i="6" s="1"/>
  <c r="S716" i="6"/>
  <c r="L717" i="6"/>
  <c r="O717" i="6" s="1"/>
  <c r="M717" i="6"/>
  <c r="P717" i="6" s="1"/>
  <c r="N717" i="6"/>
  <c r="Q717" i="6"/>
  <c r="T717" i="6" s="1"/>
  <c r="R717" i="6"/>
  <c r="S717" i="6"/>
  <c r="U717" i="6"/>
  <c r="O718" i="6"/>
  <c r="P718" i="6"/>
  <c r="T718" i="6"/>
  <c r="U718" i="6"/>
  <c r="O719" i="6"/>
  <c r="P719" i="6"/>
  <c r="T719" i="6"/>
  <c r="U719" i="6"/>
  <c r="L720" i="6"/>
  <c r="M720" i="6"/>
  <c r="P720" i="6" s="1"/>
  <c r="N720" i="6"/>
  <c r="O720" i="6"/>
  <c r="Q720" i="6"/>
  <c r="R720" i="6"/>
  <c r="U720" i="6" s="1"/>
  <c r="S720" i="6"/>
  <c r="T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J727" i="6"/>
  <c r="L729" i="6"/>
  <c r="L728" i="6" s="1"/>
  <c r="O728" i="6" s="1"/>
  <c r="M729" i="6"/>
  <c r="M728" i="6" s="1"/>
  <c r="P728" i="6" s="1"/>
  <c r="N729" i="6"/>
  <c r="N728" i="6" s="1"/>
  <c r="P729" i="6"/>
  <c r="Q729" i="6"/>
  <c r="R729" i="6"/>
  <c r="S729" i="6"/>
  <c r="U729" i="6"/>
  <c r="L730" i="6"/>
  <c r="O730" i="6" s="1"/>
  <c r="M730" i="6"/>
  <c r="P730" i="6" s="1"/>
  <c r="N730" i="6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1" i="6" s="1"/>
  <c r="R733" i="6"/>
  <c r="R731" i="6" s="1"/>
  <c r="S733" i="6"/>
  <c r="L734" i="6"/>
  <c r="O734" i="6" s="1"/>
  <c r="M734" i="6"/>
  <c r="N734" i="6"/>
  <c r="P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M760" i="6" s="1"/>
  <c r="P760" i="6" s="1"/>
  <c r="N761" i="6"/>
  <c r="P761" i="6"/>
  <c r="Q761" i="6"/>
  <c r="R761" i="6"/>
  <c r="S761" i="6"/>
  <c r="L762" i="6"/>
  <c r="O762" i="6" s="1"/>
  <c r="M762" i="6"/>
  <c r="P762" i="6" s="1"/>
  <c r="N762" i="6"/>
  <c r="N760" i="6" s="1"/>
  <c r="L763" i="6"/>
  <c r="M763" i="6"/>
  <c r="P763" i="6" s="1"/>
  <c r="N763" i="6"/>
  <c r="O763" i="6"/>
  <c r="O764" i="6"/>
  <c r="P764" i="6"/>
  <c r="T764" i="6"/>
  <c r="U764" i="6"/>
  <c r="O765" i="6"/>
  <c r="P765" i="6"/>
  <c r="Q765" i="6"/>
  <c r="R765" i="6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N22" i="5"/>
  <c r="N19" i="5" s="1"/>
  <c r="O22" i="5"/>
  <c r="Q22" i="5"/>
  <c r="T22" i="5" s="1"/>
  <c r="R22" i="5"/>
  <c r="S22" i="5"/>
  <c r="L25" i="5"/>
  <c r="M25" i="5"/>
  <c r="N25" i="5"/>
  <c r="O25" i="5"/>
  <c r="Q25" i="5"/>
  <c r="T25" i="5" s="1"/>
  <c r="R25" i="5"/>
  <c r="S25" i="5"/>
  <c r="U25" i="5"/>
  <c r="L45" i="5"/>
  <c r="O45" i="5" s="1"/>
  <c r="M45" i="5"/>
  <c r="N45" i="5"/>
  <c r="P45" i="5"/>
  <c r="Q45" i="5"/>
  <c r="Q44" i="5" s="1"/>
  <c r="T44" i="5" s="1"/>
  <c r="R45" i="5"/>
  <c r="U45" i="5" s="1"/>
  <c r="S45" i="5"/>
  <c r="Q46" i="5"/>
  <c r="T46" i="5" s="1"/>
  <c r="R46" i="5"/>
  <c r="U46" i="5" s="1"/>
  <c r="S46" i="5"/>
  <c r="Q47" i="5"/>
  <c r="R47" i="5"/>
  <c r="U47" i="5" s="1"/>
  <c r="S47" i="5"/>
  <c r="T47" i="5"/>
  <c r="O48" i="5"/>
  <c r="P48" i="5"/>
  <c r="T48" i="5"/>
  <c r="U48" i="5"/>
  <c r="L49" i="5"/>
  <c r="L47" i="5" s="1"/>
  <c r="M49" i="5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M52" i="5"/>
  <c r="N52" i="5"/>
  <c r="T52" i="5"/>
  <c r="U52" i="5"/>
  <c r="L60" i="5"/>
  <c r="O60" i="5" s="1"/>
  <c r="M60" i="5"/>
  <c r="P60" i="5" s="1"/>
  <c r="N60" i="5"/>
  <c r="Q60" i="5"/>
  <c r="R60" i="5"/>
  <c r="U60" i="5" s="1"/>
  <c r="S60" i="5"/>
  <c r="Q61" i="5"/>
  <c r="T61" i="5" s="1"/>
  <c r="R61" i="5"/>
  <c r="U61" i="5" s="1"/>
  <c r="S61" i="5"/>
  <c r="S59" i="5" s="1"/>
  <c r="Q62" i="5"/>
  <c r="R62" i="5"/>
  <c r="U62" i="5" s="1"/>
  <c r="S62" i="5"/>
  <c r="T62" i="5"/>
  <c r="O63" i="5"/>
  <c r="P63" i="5"/>
  <c r="T63" i="5"/>
  <c r="U63" i="5"/>
  <c r="L64" i="5"/>
  <c r="M64" i="5"/>
  <c r="M62" i="5" s="1"/>
  <c r="N64" i="5"/>
  <c r="T64" i="5"/>
  <c r="U64" i="5"/>
  <c r="Q65" i="5"/>
  <c r="T65" i="5" s="1"/>
  <c r="R65" i="5"/>
  <c r="U65" i="5" s="1"/>
  <c r="S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P73" i="5" s="1"/>
  <c r="N73" i="5"/>
  <c r="Q73" i="5"/>
  <c r="T73" i="5" s="1"/>
  <c r="R73" i="5"/>
  <c r="U73" i="5" s="1"/>
  <c r="S73" i="5"/>
  <c r="O76" i="5"/>
  <c r="P76" i="5"/>
  <c r="T76" i="5"/>
  <c r="U76" i="5"/>
  <c r="L77" i="5"/>
  <c r="M77" i="5"/>
  <c r="M75" i="5" s="1"/>
  <c r="P75" i="5" s="1"/>
  <c r="N77" i="5"/>
  <c r="N75" i="5" s="1"/>
  <c r="Q77" i="5"/>
  <c r="T77" i="5" s="1"/>
  <c r="R77" i="5"/>
  <c r="R75" i="5" s="1"/>
  <c r="U75" i="5" s="1"/>
  <c r="S77" i="5"/>
  <c r="S75" i="5" s="1"/>
  <c r="O79" i="5"/>
  <c r="P79" i="5"/>
  <c r="T79" i="5"/>
  <c r="U79" i="5"/>
  <c r="L80" i="5"/>
  <c r="L78" i="5" s="1"/>
  <c r="O78" i="5" s="1"/>
  <c r="M80" i="5"/>
  <c r="N80" i="5"/>
  <c r="N78" i="5" s="1"/>
  <c r="Q80" i="5"/>
  <c r="T80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I86" i="5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N95" i="5"/>
  <c r="P95" i="5"/>
  <c r="Q95" i="5"/>
  <c r="R95" i="5"/>
  <c r="S95" i="5"/>
  <c r="T95" i="5"/>
  <c r="O98" i="5"/>
  <c r="P98" i="5"/>
  <c r="T98" i="5"/>
  <c r="U98" i="5"/>
  <c r="L99" i="5"/>
  <c r="M99" i="5"/>
  <c r="P99" i="5" s="1"/>
  <c r="N99" i="5"/>
  <c r="N97" i="5" s="1"/>
  <c r="Q99" i="5"/>
  <c r="Q97" i="5" s="1"/>
  <c r="T97" i="5" s="1"/>
  <c r="R99" i="5"/>
  <c r="R96" i="5" s="1"/>
  <c r="U96" i="5" s="1"/>
  <c r="S99" i="5"/>
  <c r="S96" i="5" s="1"/>
  <c r="S94" i="5" s="1"/>
  <c r="Q100" i="5"/>
  <c r="R100" i="5"/>
  <c r="U100" i="5" s="1"/>
  <c r="S100" i="5"/>
  <c r="T100" i="5"/>
  <c r="O101" i="5"/>
  <c r="P101" i="5"/>
  <c r="T101" i="5"/>
  <c r="U101" i="5"/>
  <c r="L102" i="5"/>
  <c r="M102" i="5"/>
  <c r="M100" i="5" s="1"/>
  <c r="P100" i="5" s="1"/>
  <c r="N102" i="5"/>
  <c r="T102" i="5"/>
  <c r="U102" i="5"/>
  <c r="I108" i="5"/>
  <c r="K108" i="5" s="1"/>
  <c r="I109" i="5"/>
  <c r="I93" i="5" s="1"/>
  <c r="K93" i="5" s="1"/>
  <c r="I114" i="5"/>
  <c r="K114" i="5" s="1"/>
  <c r="J116" i="5"/>
  <c r="L118" i="5"/>
  <c r="M118" i="5"/>
  <c r="P118" i="5" s="1"/>
  <c r="N118" i="5"/>
  <c r="Q118" i="5"/>
  <c r="T118" i="5" s="1"/>
  <c r="R118" i="5"/>
  <c r="S118" i="5"/>
  <c r="O121" i="5"/>
  <c r="P121" i="5"/>
  <c r="T121" i="5"/>
  <c r="U121" i="5"/>
  <c r="L122" i="5"/>
  <c r="M122" i="5"/>
  <c r="M120" i="5" s="1"/>
  <c r="P120" i="5" s="1"/>
  <c r="N122" i="5"/>
  <c r="N120" i="5" s="1"/>
  <c r="Q122" i="5"/>
  <c r="R122" i="5"/>
  <c r="S122" i="5"/>
  <c r="O124" i="5"/>
  <c r="P124" i="5"/>
  <c r="T124" i="5"/>
  <c r="U124" i="5"/>
  <c r="L125" i="5"/>
  <c r="M125" i="5"/>
  <c r="N125" i="5"/>
  <c r="N123" i="5" s="1"/>
  <c r="Q125" i="5"/>
  <c r="R125" i="5"/>
  <c r="S125" i="5"/>
  <c r="S123" i="5" s="1"/>
  <c r="I127" i="5"/>
  <c r="K127" i="5" s="1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N140" i="5"/>
  <c r="Q140" i="5"/>
  <c r="T140" i="5" s="1"/>
  <c r="R140" i="5"/>
  <c r="S140" i="5"/>
  <c r="U140" i="5"/>
  <c r="O143" i="5"/>
  <c r="P143" i="5"/>
  <c r="T143" i="5"/>
  <c r="U143" i="5"/>
  <c r="L144" i="5"/>
  <c r="L142" i="5" s="1"/>
  <c r="M144" i="5"/>
  <c r="N144" i="5"/>
  <c r="Q144" i="5"/>
  <c r="Q142" i="5" s="1"/>
  <c r="R144" i="5"/>
  <c r="R142" i="5" s="1"/>
  <c r="S144" i="5"/>
  <c r="S142" i="5" s="1"/>
  <c r="O146" i="5"/>
  <c r="P146" i="5"/>
  <c r="T146" i="5"/>
  <c r="U146" i="5"/>
  <c r="L147" i="5"/>
  <c r="M147" i="5"/>
  <c r="N147" i="5"/>
  <c r="N145" i="5" s="1"/>
  <c r="Q147" i="5"/>
  <c r="T147" i="5" s="1"/>
  <c r="R147" i="5"/>
  <c r="S147" i="5"/>
  <c r="S145" i="5" s="1"/>
  <c r="I150" i="5"/>
  <c r="K150" i="5" s="1"/>
  <c r="I151" i="5"/>
  <c r="K151" i="5" s="1"/>
  <c r="I152" i="5"/>
  <c r="I153" i="5"/>
  <c r="I154" i="5"/>
  <c r="I136" i="5" s="1"/>
  <c r="K136" i="5" s="1"/>
  <c r="J156" i="5"/>
  <c r="L158" i="5"/>
  <c r="O158" i="5" s="1"/>
  <c r="M158" i="5"/>
  <c r="N158" i="5"/>
  <c r="P158" i="5"/>
  <c r="Q158" i="5"/>
  <c r="R158" i="5"/>
  <c r="U158" i="5" s="1"/>
  <c r="S158" i="5"/>
  <c r="T158" i="5"/>
  <c r="O161" i="5"/>
  <c r="P161" i="5"/>
  <c r="T161" i="5"/>
  <c r="U161" i="5"/>
  <c r="L162" i="5"/>
  <c r="O162" i="5" s="1"/>
  <c r="M162" i="5"/>
  <c r="P162" i="5" s="1"/>
  <c r="N162" i="5"/>
  <c r="Q162" i="5"/>
  <c r="Q160" i="5" s="1"/>
  <c r="T160" i="5" s="1"/>
  <c r="R162" i="5"/>
  <c r="U162" i="5" s="1"/>
  <c r="S162" i="5"/>
  <c r="S159" i="5" s="1"/>
  <c r="Q163" i="5"/>
  <c r="R163" i="5"/>
  <c r="U163" i="5" s="1"/>
  <c r="S163" i="5"/>
  <c r="T163" i="5"/>
  <c r="O164" i="5"/>
  <c r="P164" i="5"/>
  <c r="T164" i="5"/>
  <c r="U164" i="5"/>
  <c r="L165" i="5"/>
  <c r="O165" i="5" s="1"/>
  <c r="M165" i="5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M174" i="5"/>
  <c r="P174" i="5" s="1"/>
  <c r="N174" i="5"/>
  <c r="O174" i="5"/>
  <c r="Q174" i="5"/>
  <c r="R174" i="5"/>
  <c r="S174" i="5"/>
  <c r="T174" i="5"/>
  <c r="U174" i="5"/>
  <c r="O177" i="5"/>
  <c r="P177" i="5"/>
  <c r="T177" i="5"/>
  <c r="U177" i="5"/>
  <c r="L178" i="5"/>
  <c r="M178" i="5"/>
  <c r="M176" i="5" s="1"/>
  <c r="N178" i="5"/>
  <c r="Q178" i="5"/>
  <c r="Q175" i="5" s="1"/>
  <c r="R178" i="5"/>
  <c r="S178" i="5"/>
  <c r="S175" i="5" s="1"/>
  <c r="Q179" i="5"/>
  <c r="T179" i="5" s="1"/>
  <c r="R179" i="5"/>
  <c r="S179" i="5"/>
  <c r="U179" i="5"/>
  <c r="O180" i="5"/>
  <c r="P180" i="5"/>
  <c r="T180" i="5"/>
  <c r="U180" i="5"/>
  <c r="L181" i="5"/>
  <c r="O181" i="5" s="1"/>
  <c r="M181" i="5"/>
  <c r="N181" i="5"/>
  <c r="N179" i="5" s="1"/>
  <c r="T181" i="5"/>
  <c r="U181" i="5"/>
  <c r="I183" i="5"/>
  <c r="I172" i="5" s="1"/>
  <c r="K184" i="5"/>
  <c r="L187" i="5"/>
  <c r="M187" i="5"/>
  <c r="P187" i="5" s="1"/>
  <c r="N187" i="5"/>
  <c r="O187" i="5"/>
  <c r="Q187" i="5"/>
  <c r="R187" i="5"/>
  <c r="U187" i="5" s="1"/>
  <c r="S187" i="5"/>
  <c r="O190" i="5"/>
  <c r="P190" i="5"/>
  <c r="T190" i="5"/>
  <c r="U190" i="5"/>
  <c r="L191" i="5"/>
  <c r="M191" i="5"/>
  <c r="M189" i="5" s="1"/>
  <c r="N191" i="5"/>
  <c r="Q191" i="5"/>
  <c r="Q189" i="5" s="1"/>
  <c r="R191" i="5"/>
  <c r="S191" i="5"/>
  <c r="S189" i="5" s="1"/>
  <c r="O193" i="5"/>
  <c r="P193" i="5"/>
  <c r="T193" i="5"/>
  <c r="U193" i="5"/>
  <c r="L194" i="5"/>
  <c r="O194" i="5" s="1"/>
  <c r="M194" i="5"/>
  <c r="P194" i="5" s="1"/>
  <c r="N194" i="5"/>
  <c r="N192" i="5" s="1"/>
  <c r="Q194" i="5"/>
  <c r="Q192" i="5" s="1"/>
  <c r="T192" i="5" s="1"/>
  <c r="R194" i="5"/>
  <c r="U194" i="5" s="1"/>
  <c r="S194" i="5"/>
  <c r="S192" i="5" s="1"/>
  <c r="J195" i="5"/>
  <c r="L196" i="5"/>
  <c r="N196" i="5"/>
  <c r="P196" i="5"/>
  <c r="I198" i="5"/>
  <c r="J200" i="5"/>
  <c r="J199" i="5" s="1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I213" i="5" s="1"/>
  <c r="K213" i="5" s="1"/>
  <c r="J221" i="5"/>
  <c r="N222" i="5"/>
  <c r="P222" i="5"/>
  <c r="L223" i="5"/>
  <c r="L224" i="5"/>
  <c r="L225" i="5"/>
  <c r="I228" i="5"/>
  <c r="K228" i="5" s="1"/>
  <c r="I229" i="5"/>
  <c r="K229" i="5" s="1"/>
  <c r="I230" i="5"/>
  <c r="K230" i="5" s="1"/>
  <c r="N235" i="5"/>
  <c r="J238" i="5"/>
  <c r="J240" i="5"/>
  <c r="J241" i="5"/>
  <c r="J242" i="5"/>
  <c r="P243" i="5"/>
  <c r="L244" i="5"/>
  <c r="N244" i="5"/>
  <c r="N233" i="5" s="1"/>
  <c r="L245" i="5"/>
  <c r="N245" i="5"/>
  <c r="L246" i="5"/>
  <c r="L247" i="5"/>
  <c r="N247" i="5"/>
  <c r="N236" i="5" s="1"/>
  <c r="I249" i="5"/>
  <c r="I251" i="5"/>
  <c r="I252" i="5"/>
  <c r="I241" i="5" s="1"/>
  <c r="J253" i="5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O267" i="5" s="1"/>
  <c r="M267" i="5"/>
  <c r="N267" i="5"/>
  <c r="P267" i="5"/>
  <c r="Q267" i="5"/>
  <c r="R267" i="5"/>
  <c r="U267" i="5" s="1"/>
  <c r="S267" i="5"/>
  <c r="T267" i="5"/>
  <c r="O270" i="5"/>
  <c r="P270" i="5"/>
  <c r="T270" i="5"/>
  <c r="U270" i="5"/>
  <c r="L271" i="5"/>
  <c r="M271" i="5"/>
  <c r="N271" i="5"/>
  <c r="N269" i="5" s="1"/>
  <c r="Q271" i="5"/>
  <c r="R271" i="5"/>
  <c r="S271" i="5"/>
  <c r="Q272" i="5"/>
  <c r="T272" i="5" s="1"/>
  <c r="R272" i="5"/>
  <c r="U272" i="5" s="1"/>
  <c r="S272" i="5"/>
  <c r="O273" i="5"/>
  <c r="P273" i="5"/>
  <c r="T273" i="5"/>
  <c r="U273" i="5"/>
  <c r="L274" i="5"/>
  <c r="L272" i="5" s="1"/>
  <c r="O272" i="5" s="1"/>
  <c r="M274" i="5"/>
  <c r="M272" i="5" s="1"/>
  <c r="P272" i="5" s="1"/>
  <c r="N274" i="5"/>
  <c r="N272" i="5" s="1"/>
  <c r="T274" i="5"/>
  <c r="U274" i="5"/>
  <c r="I276" i="5"/>
  <c r="I265" i="5" s="1"/>
  <c r="K265" i="5" s="1"/>
  <c r="J281" i="5"/>
  <c r="L283" i="5"/>
  <c r="O283" i="5" s="1"/>
  <c r="M283" i="5"/>
  <c r="N283" i="5"/>
  <c r="P283" i="5"/>
  <c r="Q283" i="5"/>
  <c r="R283" i="5"/>
  <c r="U283" i="5" s="1"/>
  <c r="S283" i="5"/>
  <c r="T283" i="5"/>
  <c r="Q284" i="5"/>
  <c r="T284" i="5" s="1"/>
  <c r="R284" i="5"/>
  <c r="U284" i="5" s="1"/>
  <c r="S284" i="5"/>
  <c r="S282" i="5" s="1"/>
  <c r="Q285" i="5"/>
  <c r="R285" i="5"/>
  <c r="U285" i="5" s="1"/>
  <c r="S285" i="5"/>
  <c r="T285" i="5"/>
  <c r="O286" i="5"/>
  <c r="P286" i="5"/>
  <c r="T286" i="5"/>
  <c r="U286" i="5"/>
  <c r="L287" i="5"/>
  <c r="O287" i="5" s="1"/>
  <c r="M287" i="5"/>
  <c r="P287" i="5" s="1"/>
  <c r="N287" i="5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L288" i="5" s="1"/>
  <c r="O288" i="5" s="1"/>
  <c r="M290" i="5"/>
  <c r="N290" i="5"/>
  <c r="N288" i="5" s="1"/>
  <c r="T290" i="5"/>
  <c r="U290" i="5"/>
  <c r="I292" i="5"/>
  <c r="I293" i="5"/>
  <c r="J293" i="5"/>
  <c r="J280" i="5" s="1"/>
  <c r="I295" i="5"/>
  <c r="K295" i="5" s="1"/>
  <c r="I296" i="5"/>
  <c r="K296" i="5" s="1"/>
  <c r="J302" i="5"/>
  <c r="L304" i="5"/>
  <c r="M304" i="5"/>
  <c r="N304" i="5"/>
  <c r="O304" i="5"/>
  <c r="P304" i="5"/>
  <c r="Q304" i="5"/>
  <c r="R304" i="5"/>
  <c r="S304" i="5"/>
  <c r="T304" i="5"/>
  <c r="U304" i="5"/>
  <c r="O307" i="5"/>
  <c r="P307" i="5"/>
  <c r="T307" i="5"/>
  <c r="U307" i="5"/>
  <c r="L308" i="5"/>
  <c r="O308" i="5" s="1"/>
  <c r="M308" i="5"/>
  <c r="N308" i="5"/>
  <c r="Q308" i="5"/>
  <c r="R308" i="5"/>
  <c r="R305" i="5" s="1"/>
  <c r="R303" i="5" s="1"/>
  <c r="S308" i="5"/>
  <c r="S305" i="5" s="1"/>
  <c r="S303" i="5" s="1"/>
  <c r="Q309" i="5"/>
  <c r="T309" i="5" s="1"/>
  <c r="R309" i="5"/>
  <c r="U309" i="5" s="1"/>
  <c r="S309" i="5"/>
  <c r="O310" i="5"/>
  <c r="P310" i="5"/>
  <c r="T310" i="5"/>
  <c r="U310" i="5"/>
  <c r="L311" i="5"/>
  <c r="O311" i="5" s="1"/>
  <c r="M311" i="5"/>
  <c r="M309" i="5" s="1"/>
  <c r="P309" i="5" s="1"/>
  <c r="N311" i="5"/>
  <c r="N309" i="5" s="1"/>
  <c r="T311" i="5"/>
  <c r="U311" i="5"/>
  <c r="I314" i="5"/>
  <c r="K314" i="5" s="1"/>
  <c r="J319" i="5"/>
  <c r="L321" i="5"/>
  <c r="M321" i="5"/>
  <c r="P321" i="5" s="1"/>
  <c r="N321" i="5"/>
  <c r="Q321" i="5"/>
  <c r="R321" i="5"/>
  <c r="S321" i="5"/>
  <c r="S320" i="5" s="1"/>
  <c r="T321" i="5"/>
  <c r="Q322" i="5"/>
  <c r="Q320" i="5" s="1"/>
  <c r="T320" i="5" s="1"/>
  <c r="R322" i="5"/>
  <c r="U322" i="5" s="1"/>
  <c r="S322" i="5"/>
  <c r="Q323" i="5"/>
  <c r="T323" i="5" s="1"/>
  <c r="R323" i="5"/>
  <c r="U323" i="5" s="1"/>
  <c r="S323" i="5"/>
  <c r="O324" i="5"/>
  <c r="P324" i="5"/>
  <c r="T324" i="5"/>
  <c r="U324" i="5"/>
  <c r="L325" i="5"/>
  <c r="L323" i="5" s="1"/>
  <c r="O323" i="5" s="1"/>
  <c r="M325" i="5"/>
  <c r="N325" i="5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M328" i="5"/>
  <c r="P328" i="5" s="1"/>
  <c r="N328" i="5"/>
  <c r="N326" i="5" s="1"/>
  <c r="T328" i="5"/>
  <c r="U328" i="5"/>
  <c r="I330" i="5"/>
  <c r="I319" i="5" s="1"/>
  <c r="K319" i="5" s="1"/>
  <c r="L334" i="5"/>
  <c r="O334" i="5" s="1"/>
  <c r="M334" i="5"/>
  <c r="P334" i="5" s="1"/>
  <c r="N334" i="5"/>
  <c r="Q334" i="5"/>
  <c r="R334" i="5"/>
  <c r="R333" i="5" s="1"/>
  <c r="U333" i="5" s="1"/>
  <c r="S334" i="5"/>
  <c r="S333" i="5" s="1"/>
  <c r="Q335" i="5"/>
  <c r="T335" i="5" s="1"/>
  <c r="R335" i="5"/>
  <c r="U335" i="5" s="1"/>
  <c r="S335" i="5"/>
  <c r="Q336" i="5"/>
  <c r="T336" i="5" s="1"/>
  <c r="R336" i="5"/>
  <c r="U336" i="5" s="1"/>
  <c r="S336" i="5"/>
  <c r="O337" i="5"/>
  <c r="P337" i="5"/>
  <c r="T337" i="5"/>
  <c r="U337" i="5"/>
  <c r="L338" i="5"/>
  <c r="L336" i="5" s="1"/>
  <c r="M338" i="5"/>
  <c r="M336" i="5" s="1"/>
  <c r="N338" i="5"/>
  <c r="N336" i="5" s="1"/>
  <c r="T338" i="5"/>
  <c r="U338" i="5"/>
  <c r="Q339" i="5"/>
  <c r="R339" i="5"/>
  <c r="U339" i="5" s="1"/>
  <c r="S339" i="5"/>
  <c r="T339" i="5"/>
  <c r="O340" i="5"/>
  <c r="P340" i="5"/>
  <c r="T340" i="5"/>
  <c r="U340" i="5"/>
  <c r="L341" i="5"/>
  <c r="L339" i="5" s="1"/>
  <c r="O339" i="5" s="1"/>
  <c r="M341" i="5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D354" i="5"/>
  <c r="L357" i="5"/>
  <c r="O357" i="5" s="1"/>
  <c r="M357" i="5"/>
  <c r="N357" i="5"/>
  <c r="Q357" i="5"/>
  <c r="R357" i="5"/>
  <c r="U357" i="5" s="1"/>
  <c r="S357" i="5"/>
  <c r="S356" i="5" s="1"/>
  <c r="Q358" i="5"/>
  <c r="R358" i="5"/>
  <c r="U358" i="5" s="1"/>
  <c r="S358" i="5"/>
  <c r="T358" i="5"/>
  <c r="Q359" i="5"/>
  <c r="T359" i="5" s="1"/>
  <c r="R359" i="5"/>
  <c r="S359" i="5"/>
  <c r="U359" i="5"/>
  <c r="O360" i="5"/>
  <c r="P360" i="5"/>
  <c r="T360" i="5"/>
  <c r="U360" i="5"/>
  <c r="L361" i="5"/>
  <c r="M361" i="5"/>
  <c r="N361" i="5"/>
  <c r="T361" i="5"/>
  <c r="U361" i="5"/>
  <c r="Q362" i="5"/>
  <c r="R362" i="5"/>
  <c r="U362" i="5" s="1"/>
  <c r="S362" i="5"/>
  <c r="T362" i="5"/>
  <c r="O363" i="5"/>
  <c r="P363" i="5"/>
  <c r="T363" i="5"/>
  <c r="U363" i="5"/>
  <c r="L364" i="5"/>
  <c r="O364" i="5" s="1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O376" i="5" s="1"/>
  <c r="M376" i="5"/>
  <c r="P376" i="5" s="1"/>
  <c r="N376" i="5"/>
  <c r="Q376" i="5"/>
  <c r="T376" i="5" s="1"/>
  <c r="R376" i="5"/>
  <c r="S376" i="5"/>
  <c r="U376" i="5"/>
  <c r="O379" i="5"/>
  <c r="P379" i="5"/>
  <c r="T379" i="5"/>
  <c r="U379" i="5"/>
  <c r="L380" i="5"/>
  <c r="L378" i="5" s="1"/>
  <c r="O378" i="5" s="1"/>
  <c r="M380" i="5"/>
  <c r="N380" i="5"/>
  <c r="N378" i="5" s="1"/>
  <c r="Q380" i="5"/>
  <c r="Q377" i="5" s="1"/>
  <c r="R380" i="5"/>
  <c r="R378" i="5" s="1"/>
  <c r="S380" i="5"/>
  <c r="Q381" i="5"/>
  <c r="T381" i="5" s="1"/>
  <c r="R381" i="5"/>
  <c r="U381" i="5" s="1"/>
  <c r="S381" i="5"/>
  <c r="O382" i="5"/>
  <c r="P382" i="5"/>
  <c r="T382" i="5"/>
  <c r="U382" i="5"/>
  <c r="L383" i="5"/>
  <c r="L381" i="5" s="1"/>
  <c r="O381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L392" i="5" s="1"/>
  <c r="O392" i="5" s="1"/>
  <c r="M393" i="5"/>
  <c r="N393" i="5"/>
  <c r="P393" i="5"/>
  <c r="Q393" i="5"/>
  <c r="R393" i="5"/>
  <c r="S393" i="5"/>
  <c r="L394" i="5"/>
  <c r="O394" i="5" s="1"/>
  <c r="M394" i="5"/>
  <c r="P394" i="5" s="1"/>
  <c r="N394" i="5"/>
  <c r="L395" i="5"/>
  <c r="M395" i="5"/>
  <c r="N395" i="5"/>
  <c r="O395" i="5"/>
  <c r="P395" i="5"/>
  <c r="O396" i="5"/>
  <c r="P396" i="5"/>
  <c r="T396" i="5"/>
  <c r="U396" i="5"/>
  <c r="O397" i="5"/>
  <c r="P397" i="5"/>
  <c r="Q397" i="5"/>
  <c r="Q395" i="5" s="1"/>
  <c r="T395" i="5" s="1"/>
  <c r="R397" i="5"/>
  <c r="R395" i="5" s="1"/>
  <c r="U395" i="5" s="1"/>
  <c r="S397" i="5"/>
  <c r="S394" i="5" s="1"/>
  <c r="S392" i="5" s="1"/>
  <c r="L398" i="5"/>
  <c r="O398" i="5" s="1"/>
  <c r="M398" i="5"/>
  <c r="N398" i="5"/>
  <c r="P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N414" i="5"/>
  <c r="P414" i="5"/>
  <c r="Q414" i="5"/>
  <c r="R414" i="5"/>
  <c r="S414" i="5"/>
  <c r="O417" i="5"/>
  <c r="P417" i="5"/>
  <c r="T417" i="5"/>
  <c r="U417" i="5"/>
  <c r="L418" i="5"/>
  <c r="M418" i="5"/>
  <c r="M416" i="5" s="1"/>
  <c r="N418" i="5"/>
  <c r="N416" i="5" s="1"/>
  <c r="Q418" i="5"/>
  <c r="R418" i="5"/>
  <c r="R415" i="5" s="1"/>
  <c r="S418" i="5"/>
  <c r="S416" i="5" s="1"/>
  <c r="Q419" i="5"/>
  <c r="T419" i="5" s="1"/>
  <c r="R419" i="5"/>
  <c r="U419" i="5" s="1"/>
  <c r="S419" i="5"/>
  <c r="O420" i="5"/>
  <c r="P420" i="5"/>
  <c r="T420" i="5"/>
  <c r="U420" i="5"/>
  <c r="L421" i="5"/>
  <c r="O421" i="5" s="1"/>
  <c r="M421" i="5"/>
  <c r="P421" i="5" s="1"/>
  <c r="N421" i="5"/>
  <c r="N419" i="5" s="1"/>
  <c r="T421" i="5"/>
  <c r="U421" i="5"/>
  <c r="I424" i="5"/>
  <c r="J424" i="5"/>
  <c r="I425" i="5"/>
  <c r="J425" i="5"/>
  <c r="I432" i="5"/>
  <c r="J432" i="5"/>
  <c r="I433" i="5"/>
  <c r="J433" i="5"/>
  <c r="I440" i="5"/>
  <c r="I423" i="5" s="1"/>
  <c r="I441" i="5"/>
  <c r="J446" i="5"/>
  <c r="J440" i="5" s="1"/>
  <c r="J447" i="5"/>
  <c r="J441" i="5" s="1"/>
  <c r="I457" i="5"/>
  <c r="I456" i="5" s="1"/>
  <c r="I458" i="5"/>
  <c r="K458" i="5" s="1"/>
  <c r="J459" i="5"/>
  <c r="J460" i="5"/>
  <c r="J467" i="5"/>
  <c r="J457" i="5" s="1"/>
  <c r="J468" i="5"/>
  <c r="J458" i="5" s="1"/>
  <c r="J475" i="5"/>
  <c r="K475" i="5"/>
  <c r="J476" i="5"/>
  <c r="K476" i="5"/>
  <c r="J477" i="5"/>
  <c r="K477" i="5"/>
  <c r="J482" i="5"/>
  <c r="J483" i="5"/>
  <c r="I484" i="5"/>
  <c r="J484" i="5"/>
  <c r="K484" i="5"/>
  <c r="I485" i="5"/>
  <c r="J485" i="5"/>
  <c r="K485" i="5"/>
  <c r="L494" i="5"/>
  <c r="O494" i="5" s="1"/>
  <c r="M494" i="5"/>
  <c r="N494" i="5"/>
  <c r="Q494" i="5"/>
  <c r="T494" i="5" s="1"/>
  <c r="R494" i="5"/>
  <c r="S494" i="5"/>
  <c r="U494" i="5"/>
  <c r="O497" i="5"/>
  <c r="P497" i="5"/>
  <c r="T497" i="5"/>
  <c r="U497" i="5"/>
  <c r="L498" i="5"/>
  <c r="L496" i="5" s="1"/>
  <c r="O496" i="5" s="1"/>
  <c r="M498" i="5"/>
  <c r="M496" i="5" s="1"/>
  <c r="P496" i="5" s="1"/>
  <c r="N498" i="5"/>
  <c r="Q498" i="5"/>
  <c r="T498" i="5" s="1"/>
  <c r="R498" i="5"/>
  <c r="R496" i="5" s="1"/>
  <c r="U496" i="5" s="1"/>
  <c r="S498" i="5"/>
  <c r="S495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P501" i="5" s="1"/>
  <c r="N501" i="5"/>
  <c r="N499" i="5" s="1"/>
  <c r="T501" i="5"/>
  <c r="U501" i="5"/>
  <c r="I503" i="5"/>
  <c r="I492" i="5" s="1"/>
  <c r="K492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O514" i="5" s="1"/>
  <c r="M514" i="5"/>
  <c r="N514" i="5"/>
  <c r="Q514" i="5"/>
  <c r="R514" i="5"/>
  <c r="U514" i="5" s="1"/>
  <c r="S514" i="5"/>
  <c r="Q515" i="5"/>
  <c r="T515" i="5" s="1"/>
  <c r="R515" i="5"/>
  <c r="S515" i="5"/>
  <c r="U515" i="5"/>
  <c r="Q516" i="5"/>
  <c r="T516" i="5" s="1"/>
  <c r="R516" i="5"/>
  <c r="S516" i="5"/>
  <c r="U516" i="5"/>
  <c r="O517" i="5"/>
  <c r="P517" i="5"/>
  <c r="T517" i="5"/>
  <c r="U517" i="5"/>
  <c r="L518" i="5"/>
  <c r="L516" i="5" s="1"/>
  <c r="O516" i="5" s="1"/>
  <c r="M518" i="5"/>
  <c r="M516" i="5" s="1"/>
  <c r="P516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O521" i="5" s="1"/>
  <c r="M521" i="5"/>
  <c r="M519" i="5" s="1"/>
  <c r="P519" i="5" s="1"/>
  <c r="N521" i="5"/>
  <c r="N519" i="5" s="1"/>
  <c r="T521" i="5"/>
  <c r="U521" i="5"/>
  <c r="K523" i="5"/>
  <c r="K524" i="5"/>
  <c r="I533" i="5"/>
  <c r="J533" i="5"/>
  <c r="K533" i="5"/>
  <c r="L535" i="5"/>
  <c r="O535" i="5" s="1"/>
  <c r="M535" i="5"/>
  <c r="P535" i="5" s="1"/>
  <c r="N535" i="5"/>
  <c r="Q535" i="5"/>
  <c r="R535" i="5"/>
  <c r="S535" i="5"/>
  <c r="S534" i="5" s="1"/>
  <c r="Q536" i="5"/>
  <c r="R536" i="5"/>
  <c r="U536" i="5" s="1"/>
  <c r="S536" i="5"/>
  <c r="T536" i="5"/>
  <c r="Q537" i="5"/>
  <c r="T537" i="5" s="1"/>
  <c r="R537" i="5"/>
  <c r="U537" i="5" s="1"/>
  <c r="S537" i="5"/>
  <c r="O538" i="5"/>
  <c r="P538" i="5"/>
  <c r="T538" i="5"/>
  <c r="U538" i="5"/>
  <c r="L539" i="5"/>
  <c r="O539" i="5" s="1"/>
  <c r="M539" i="5"/>
  <c r="M537" i="5" s="1"/>
  <c r="P537" i="5" s="1"/>
  <c r="N539" i="5"/>
  <c r="N537" i="5" s="1"/>
  <c r="T539" i="5"/>
  <c r="U539" i="5"/>
  <c r="Q540" i="5"/>
  <c r="R540" i="5"/>
  <c r="U540" i="5" s="1"/>
  <c r="S540" i="5"/>
  <c r="T540" i="5"/>
  <c r="O541" i="5"/>
  <c r="P541" i="5"/>
  <c r="T541" i="5"/>
  <c r="U541" i="5"/>
  <c r="L542" i="5"/>
  <c r="M542" i="5"/>
  <c r="P542" i="5" s="1"/>
  <c r="N542" i="5"/>
  <c r="N540" i="5" s="1"/>
  <c r="T542" i="5"/>
  <c r="U542" i="5"/>
  <c r="I554" i="5"/>
  <c r="J554" i="5"/>
  <c r="K554" i="5"/>
  <c r="L556" i="5"/>
  <c r="M556" i="5"/>
  <c r="N556" i="5"/>
  <c r="P556" i="5"/>
  <c r="Q556" i="5"/>
  <c r="T556" i="5" s="1"/>
  <c r="R556" i="5"/>
  <c r="S556" i="5"/>
  <c r="S555" i="5" s="1"/>
  <c r="Q557" i="5"/>
  <c r="R557" i="5"/>
  <c r="U557" i="5" s="1"/>
  <c r="S557" i="5"/>
  <c r="T557" i="5"/>
  <c r="Q558" i="5"/>
  <c r="T558" i="5" s="1"/>
  <c r="R558" i="5"/>
  <c r="S558" i="5"/>
  <c r="U558" i="5"/>
  <c r="O559" i="5"/>
  <c r="P559" i="5"/>
  <c r="T559" i="5"/>
  <c r="U559" i="5"/>
  <c r="L560" i="5"/>
  <c r="O560" i="5" s="1"/>
  <c r="M560" i="5"/>
  <c r="N560" i="5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L561" i="5" s="1"/>
  <c r="O561" i="5" s="1"/>
  <c r="M563" i="5"/>
  <c r="P563" i="5" s="1"/>
  <c r="N563" i="5"/>
  <c r="N561" i="5" s="1"/>
  <c r="T563" i="5"/>
  <c r="U563" i="5"/>
  <c r="I575" i="5"/>
  <c r="J575" i="5"/>
  <c r="K575" i="5"/>
  <c r="L577" i="5"/>
  <c r="O577" i="5" s="1"/>
  <c r="M577" i="5"/>
  <c r="N577" i="5"/>
  <c r="Q577" i="5"/>
  <c r="R577" i="5"/>
  <c r="S577" i="5"/>
  <c r="S576" i="5" s="1"/>
  <c r="U577" i="5"/>
  <c r="Q578" i="5"/>
  <c r="T578" i="5" s="1"/>
  <c r="R578" i="5"/>
  <c r="S578" i="5"/>
  <c r="Q579" i="5"/>
  <c r="T579" i="5" s="1"/>
  <c r="R579" i="5"/>
  <c r="U579" i="5" s="1"/>
  <c r="S579" i="5"/>
  <c r="O580" i="5"/>
  <c r="P580" i="5"/>
  <c r="T580" i="5"/>
  <c r="U580" i="5"/>
  <c r="L581" i="5"/>
  <c r="M581" i="5"/>
  <c r="M579" i="5" s="1"/>
  <c r="N581" i="5"/>
  <c r="N579" i="5" s="1"/>
  <c r="T581" i="5"/>
  <c r="U581" i="5"/>
  <c r="Q582" i="5"/>
  <c r="T582" i="5" s="1"/>
  <c r="R582" i="5"/>
  <c r="S582" i="5"/>
  <c r="U582" i="5"/>
  <c r="O583" i="5"/>
  <c r="P583" i="5"/>
  <c r="T583" i="5"/>
  <c r="U583" i="5"/>
  <c r="L584" i="5"/>
  <c r="O584" i="5" s="1"/>
  <c r="M584" i="5"/>
  <c r="P584" i="5" s="1"/>
  <c r="N584" i="5"/>
  <c r="N582" i="5" s="1"/>
  <c r="T584" i="5"/>
  <c r="U584" i="5"/>
  <c r="K586" i="5"/>
  <c r="K587" i="5"/>
  <c r="L600" i="5"/>
  <c r="O600" i="5" s="1"/>
  <c r="M600" i="5"/>
  <c r="N600" i="5"/>
  <c r="Q600" i="5"/>
  <c r="R600" i="5"/>
  <c r="U600" i="5" s="1"/>
  <c r="S600" i="5"/>
  <c r="O603" i="5"/>
  <c r="P603" i="5"/>
  <c r="T603" i="5"/>
  <c r="U603" i="5"/>
  <c r="L604" i="5"/>
  <c r="L602" i="5" s="1"/>
  <c r="M604" i="5"/>
  <c r="N604" i="5"/>
  <c r="Q604" i="5"/>
  <c r="R604" i="5"/>
  <c r="R602" i="5" s="1"/>
  <c r="U602" i="5" s="1"/>
  <c r="S604" i="5"/>
  <c r="O606" i="5"/>
  <c r="P606" i="5"/>
  <c r="T606" i="5"/>
  <c r="U606" i="5"/>
  <c r="L607" i="5"/>
  <c r="L605" i="5" s="1"/>
  <c r="O605" i="5" s="1"/>
  <c r="M607" i="5"/>
  <c r="P607" i="5" s="1"/>
  <c r="N607" i="5"/>
  <c r="N605" i="5" s="1"/>
  <c r="Q607" i="5"/>
  <c r="R607" i="5"/>
  <c r="R605" i="5" s="1"/>
  <c r="U605" i="5" s="1"/>
  <c r="S607" i="5"/>
  <c r="S605" i="5" s="1"/>
  <c r="L617" i="5"/>
  <c r="L616" i="5" s="1"/>
  <c r="O616" i="5" s="1"/>
  <c r="M617" i="5"/>
  <c r="P617" i="5" s="1"/>
  <c r="N617" i="5"/>
  <c r="N616" i="5" s="1"/>
  <c r="O617" i="5"/>
  <c r="Q617" i="5"/>
  <c r="R617" i="5"/>
  <c r="S617" i="5"/>
  <c r="U617" i="5"/>
  <c r="L618" i="5"/>
  <c r="O618" i="5" s="1"/>
  <c r="M618" i="5"/>
  <c r="N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9" i="5" s="1"/>
  <c r="R621" i="5"/>
  <c r="R619" i="5" s="1"/>
  <c r="S621" i="5"/>
  <c r="S619" i="5" s="1"/>
  <c r="L622" i="5"/>
  <c r="M622" i="5"/>
  <c r="N622" i="5"/>
  <c r="O622" i="5"/>
  <c r="P622" i="5"/>
  <c r="Q622" i="5"/>
  <c r="T622" i="5" s="1"/>
  <c r="R622" i="5"/>
  <c r="S622" i="5"/>
  <c r="U622" i="5"/>
  <c r="O623" i="5"/>
  <c r="P623" i="5"/>
  <c r="T623" i="5"/>
  <c r="U623" i="5"/>
  <c r="O624" i="5"/>
  <c r="P624" i="5"/>
  <c r="T624" i="5"/>
  <c r="U624" i="5"/>
  <c r="I626" i="5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O643" i="5" s="1"/>
  <c r="M643" i="5"/>
  <c r="M642" i="5" s="1"/>
  <c r="P642" i="5" s="1"/>
  <c r="N643" i="5"/>
  <c r="N642" i="5" s="1"/>
  <c r="Q643" i="5"/>
  <c r="R643" i="5"/>
  <c r="S643" i="5"/>
  <c r="T643" i="5"/>
  <c r="U643" i="5"/>
  <c r="L644" i="5"/>
  <c r="M644" i="5"/>
  <c r="N644" i="5"/>
  <c r="O644" i="5"/>
  <c r="P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4" i="5" s="1"/>
  <c r="T644" i="5" s="1"/>
  <c r="R647" i="5"/>
  <c r="R645" i="5" s="1"/>
  <c r="U645" i="5" s="1"/>
  <c r="S647" i="5"/>
  <c r="S644" i="5" s="1"/>
  <c r="L648" i="5"/>
  <c r="O648" i="5" s="1"/>
  <c r="M648" i="5"/>
  <c r="P648" i="5" s="1"/>
  <c r="N648" i="5"/>
  <c r="Q648" i="5"/>
  <c r="R648" i="5"/>
  <c r="U648" i="5" s="1"/>
  <c r="S648" i="5"/>
  <c r="T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O691" i="5" s="1"/>
  <c r="M691" i="5"/>
  <c r="N691" i="5"/>
  <c r="Q691" i="5"/>
  <c r="T691" i="5" s="1"/>
  <c r="R691" i="5"/>
  <c r="U691" i="5" s="1"/>
  <c r="S691" i="5"/>
  <c r="L692" i="5"/>
  <c r="M692" i="5"/>
  <c r="N692" i="5"/>
  <c r="N690" i="5" s="1"/>
  <c r="O692" i="5"/>
  <c r="P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2" i="5" s="1"/>
  <c r="R695" i="5"/>
  <c r="R693" i="5" s="1"/>
  <c r="S695" i="5"/>
  <c r="S692" i="5" s="1"/>
  <c r="L696" i="5"/>
  <c r="O696" i="5" s="1"/>
  <c r="M696" i="5"/>
  <c r="N696" i="5"/>
  <c r="P696" i="5"/>
  <c r="Q696" i="5"/>
  <c r="R696" i="5"/>
  <c r="U696" i="5" s="1"/>
  <c r="S696" i="5"/>
  <c r="T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I689" i="5" s="1"/>
  <c r="J707" i="5"/>
  <c r="J689" i="5" s="1"/>
  <c r="J708" i="5"/>
  <c r="K708" i="5"/>
  <c r="I709" i="5"/>
  <c r="J709" i="5"/>
  <c r="J710" i="5"/>
  <c r="K710" i="5"/>
  <c r="J712" i="5"/>
  <c r="K712" i="5"/>
  <c r="O714" i="5"/>
  <c r="L715" i="5"/>
  <c r="O715" i="5" s="1"/>
  <c r="M715" i="5"/>
  <c r="N715" i="5"/>
  <c r="Q715" i="5"/>
  <c r="Q714" i="5" s="1"/>
  <c r="T714" i="5" s="1"/>
  <c r="R715" i="5"/>
  <c r="U715" i="5" s="1"/>
  <c r="S715" i="5"/>
  <c r="L716" i="5"/>
  <c r="L714" i="5" s="1"/>
  <c r="M716" i="5"/>
  <c r="P716" i="5" s="1"/>
  <c r="N716" i="5"/>
  <c r="O716" i="5"/>
  <c r="Q716" i="5"/>
  <c r="R716" i="5"/>
  <c r="S716" i="5"/>
  <c r="T716" i="5"/>
  <c r="U716" i="5"/>
  <c r="L717" i="5"/>
  <c r="O717" i="5" s="1"/>
  <c r="M717" i="5"/>
  <c r="N717" i="5"/>
  <c r="P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9" i="5"/>
  <c r="O729" i="5" s="1"/>
  <c r="M729" i="5"/>
  <c r="N729" i="5"/>
  <c r="Q729" i="5"/>
  <c r="R729" i="5"/>
  <c r="U729" i="5" s="1"/>
  <c r="S729" i="5"/>
  <c r="L730" i="5"/>
  <c r="O730" i="5" s="1"/>
  <c r="M730" i="5"/>
  <c r="P730" i="5" s="1"/>
  <c r="N730" i="5"/>
  <c r="L731" i="5"/>
  <c r="O731" i="5" s="1"/>
  <c r="M731" i="5"/>
  <c r="N731" i="5"/>
  <c r="P731" i="5"/>
  <c r="O732" i="5"/>
  <c r="P732" i="5"/>
  <c r="T732" i="5"/>
  <c r="U732" i="5"/>
  <c r="O733" i="5"/>
  <c r="P733" i="5"/>
  <c r="Q733" i="5"/>
  <c r="Q730" i="5" s="1"/>
  <c r="R733" i="5"/>
  <c r="R730" i="5" s="1"/>
  <c r="S733" i="5"/>
  <c r="L734" i="5"/>
  <c r="O734" i="5" s="1"/>
  <c r="M734" i="5"/>
  <c r="P734" i="5" s="1"/>
  <c r="N734" i="5"/>
  <c r="Q734" i="5"/>
  <c r="R734" i="5"/>
  <c r="U734" i="5" s="1"/>
  <c r="S734" i="5"/>
  <c r="T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P761" i="5" s="1"/>
  <c r="N761" i="5"/>
  <c r="N760" i="5" s="1"/>
  <c r="Q761" i="5"/>
  <c r="T761" i="5" s="1"/>
  <c r="R761" i="5"/>
  <c r="S761" i="5"/>
  <c r="L762" i="5"/>
  <c r="O762" i="5" s="1"/>
  <c r="M762" i="5"/>
  <c r="N762" i="5"/>
  <c r="P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3" i="5" s="1"/>
  <c r="T763" i="5" s="1"/>
  <c r="R765" i="5"/>
  <c r="R762" i="5" s="1"/>
  <c r="U762" i="5" s="1"/>
  <c r="S765" i="5"/>
  <c r="S762" i="5" s="1"/>
  <c r="L766" i="5"/>
  <c r="O766" i="5" s="1"/>
  <c r="M766" i="5"/>
  <c r="P766" i="5" s="1"/>
  <c r="N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Q22" i="4"/>
  <c r="R22" i="4"/>
  <c r="S22" i="4"/>
  <c r="L25" i="4"/>
  <c r="M25" i="4"/>
  <c r="N25" i="4"/>
  <c r="Q25" i="4"/>
  <c r="T25" i="4" s="1"/>
  <c r="R25" i="4"/>
  <c r="S25" i="4"/>
  <c r="R44" i="4"/>
  <c r="U44" i="4" s="1"/>
  <c r="L45" i="4"/>
  <c r="O45" i="4" s="1"/>
  <c r="M45" i="4"/>
  <c r="N45" i="4"/>
  <c r="Q45" i="4"/>
  <c r="R45" i="4"/>
  <c r="U45" i="4" s="1"/>
  <c r="S45" i="4"/>
  <c r="S44" i="4" s="1"/>
  <c r="T45" i="4"/>
  <c r="Q46" i="4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T50" i="4" s="1"/>
  <c r="R50" i="4"/>
  <c r="S50" i="4"/>
  <c r="U50" i="4"/>
  <c r="O51" i="4"/>
  <c r="P51" i="4"/>
  <c r="T51" i="4"/>
  <c r="U51" i="4"/>
  <c r="L52" i="4"/>
  <c r="O52" i="4" s="1"/>
  <c r="M52" i="4"/>
  <c r="N52" i="4"/>
  <c r="T52" i="4"/>
  <c r="U52" i="4"/>
  <c r="L60" i="4"/>
  <c r="O60" i="4" s="1"/>
  <c r="M60" i="4"/>
  <c r="N60" i="4"/>
  <c r="Q60" i="4"/>
  <c r="R60" i="4"/>
  <c r="U60" i="4" s="1"/>
  <c r="S60" i="4"/>
  <c r="S59" i="4" s="1"/>
  <c r="T60" i="4"/>
  <c r="Q61" i="4"/>
  <c r="T61" i="4" s="1"/>
  <c r="R61" i="4"/>
  <c r="S61" i="4"/>
  <c r="Q62" i="4"/>
  <c r="T62" i="4" s="1"/>
  <c r="R62" i="4"/>
  <c r="U62" i="4" s="1"/>
  <c r="S62" i="4"/>
  <c r="O63" i="4"/>
  <c r="P63" i="4"/>
  <c r="T63" i="4"/>
  <c r="U63" i="4"/>
  <c r="L64" i="4"/>
  <c r="M64" i="4"/>
  <c r="M62" i="4" s="1"/>
  <c r="N64" i="4"/>
  <c r="N62" i="4" s="1"/>
  <c r="T64" i="4"/>
  <c r="U64" i="4"/>
  <c r="Q65" i="4"/>
  <c r="R65" i="4"/>
  <c r="S65" i="4"/>
  <c r="T65" i="4"/>
  <c r="U65" i="4"/>
  <c r="O66" i="4"/>
  <c r="P66" i="4"/>
  <c r="T66" i="4"/>
  <c r="U66" i="4"/>
  <c r="L67" i="4"/>
  <c r="O67" i="4" s="1"/>
  <c r="M67" i="4"/>
  <c r="N67" i="4"/>
  <c r="N65" i="4" s="1"/>
  <c r="T67" i="4"/>
  <c r="U67" i="4"/>
  <c r="L73" i="4"/>
  <c r="O73" i="4" s="1"/>
  <c r="M73" i="4"/>
  <c r="N73" i="4"/>
  <c r="Q73" i="4"/>
  <c r="R73" i="4"/>
  <c r="U73" i="4" s="1"/>
  <c r="S73" i="4"/>
  <c r="T73" i="4"/>
  <c r="O76" i="4"/>
  <c r="P76" i="4"/>
  <c r="T76" i="4"/>
  <c r="U76" i="4"/>
  <c r="L77" i="4"/>
  <c r="O77" i="4" s="1"/>
  <c r="M77" i="4"/>
  <c r="M75" i="4" s="1"/>
  <c r="P75" i="4" s="1"/>
  <c r="N77" i="4"/>
  <c r="N75" i="4" s="1"/>
  <c r="Q77" i="4"/>
  <c r="Q75" i="4" s="1"/>
  <c r="T75" i="4" s="1"/>
  <c r="R77" i="4"/>
  <c r="U77" i="4" s="1"/>
  <c r="S77" i="4"/>
  <c r="S75" i="4" s="1"/>
  <c r="O79" i="4"/>
  <c r="P79" i="4"/>
  <c r="T79" i="4"/>
  <c r="U79" i="4"/>
  <c r="L80" i="4"/>
  <c r="M80" i="4"/>
  <c r="M78" i="4" s="1"/>
  <c r="P78" i="4" s="1"/>
  <c r="N80" i="4"/>
  <c r="N78" i="4" s="1"/>
  <c r="Q80" i="4"/>
  <c r="T80" i="4" s="1"/>
  <c r="R80" i="4"/>
  <c r="S80" i="4"/>
  <c r="S78" i="4" s="1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S95" i="4"/>
  <c r="T95" i="4"/>
  <c r="O98" i="4"/>
  <c r="P98" i="4"/>
  <c r="T98" i="4"/>
  <c r="U98" i="4"/>
  <c r="L99" i="4"/>
  <c r="O99" i="4" s="1"/>
  <c r="M99" i="4"/>
  <c r="N99" i="4"/>
  <c r="N97" i="4" s="1"/>
  <c r="Q99" i="4"/>
  <c r="Q97" i="4" s="1"/>
  <c r="T97" i="4" s="1"/>
  <c r="R99" i="4"/>
  <c r="U99" i="4" s="1"/>
  <c r="S99" i="4"/>
  <c r="S97" i="4" s="1"/>
  <c r="Q100" i="4"/>
  <c r="T100" i="4" s="1"/>
  <c r="R100" i="4"/>
  <c r="U100" i="4" s="1"/>
  <c r="S100" i="4"/>
  <c r="O101" i="4"/>
  <c r="P101" i="4"/>
  <c r="T101" i="4"/>
  <c r="U101" i="4"/>
  <c r="L102" i="4"/>
  <c r="O102" i="4" s="1"/>
  <c r="M102" i="4"/>
  <c r="P102" i="4" s="1"/>
  <c r="N102" i="4"/>
  <c r="N100" i="4" s="1"/>
  <c r="T102" i="4"/>
  <c r="U102" i="4"/>
  <c r="I108" i="4"/>
  <c r="I92" i="4" s="1"/>
  <c r="K92" i="4" s="1"/>
  <c r="I109" i="4"/>
  <c r="I93" i="4" s="1"/>
  <c r="K93" i="4" s="1"/>
  <c r="I114" i="4"/>
  <c r="K114" i="4" s="1"/>
  <c r="J116" i="4"/>
  <c r="L118" i="4"/>
  <c r="M118" i="4"/>
  <c r="N118" i="4"/>
  <c r="P118" i="4"/>
  <c r="Q118" i="4"/>
  <c r="R118" i="4"/>
  <c r="S118" i="4"/>
  <c r="O121" i="4"/>
  <c r="P121" i="4"/>
  <c r="T121" i="4"/>
  <c r="U121" i="4"/>
  <c r="L122" i="4"/>
  <c r="O122" i="4" s="1"/>
  <c r="M122" i="4"/>
  <c r="M120" i="4" s="1"/>
  <c r="P120" i="4" s="1"/>
  <c r="N122" i="4"/>
  <c r="Q122" i="4"/>
  <c r="R122" i="4"/>
  <c r="S122" i="4"/>
  <c r="S120" i="4" s="1"/>
  <c r="O124" i="4"/>
  <c r="P124" i="4"/>
  <c r="T124" i="4"/>
  <c r="U124" i="4"/>
  <c r="L125" i="4"/>
  <c r="O125" i="4" s="1"/>
  <c r="M125" i="4"/>
  <c r="P125" i="4" s="1"/>
  <c r="N125" i="4"/>
  <c r="N123" i="4" s="1"/>
  <c r="Q125" i="4"/>
  <c r="R125" i="4"/>
  <c r="U125" i="4" s="1"/>
  <c r="S125" i="4"/>
  <c r="S123" i="4" s="1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Q140" i="4"/>
  <c r="T140" i="4" s="1"/>
  <c r="R140" i="4"/>
  <c r="S140" i="4"/>
  <c r="O143" i="4"/>
  <c r="P143" i="4"/>
  <c r="T143" i="4"/>
  <c r="U143" i="4"/>
  <c r="L144" i="4"/>
  <c r="M144" i="4"/>
  <c r="N144" i="4"/>
  <c r="N142" i="4" s="1"/>
  <c r="Q144" i="4"/>
  <c r="R144" i="4"/>
  <c r="S144" i="4"/>
  <c r="S142" i="4" s="1"/>
  <c r="O146" i="4"/>
  <c r="P146" i="4"/>
  <c r="T146" i="4"/>
  <c r="U146" i="4"/>
  <c r="L147" i="4"/>
  <c r="L145" i="4" s="1"/>
  <c r="O145" i="4" s="1"/>
  <c r="M147" i="4"/>
  <c r="P147" i="4" s="1"/>
  <c r="N147" i="4"/>
  <c r="N145" i="4" s="1"/>
  <c r="Q147" i="4"/>
  <c r="Q145" i="4" s="1"/>
  <c r="R147" i="4"/>
  <c r="S147" i="4"/>
  <c r="S145" i="4" s="1"/>
  <c r="I150" i="4"/>
  <c r="K150" i="4" s="1"/>
  <c r="I151" i="4"/>
  <c r="K151" i="4" s="1"/>
  <c r="I152" i="4"/>
  <c r="I153" i="4"/>
  <c r="I138" i="4" s="1"/>
  <c r="K138" i="4" s="1"/>
  <c r="I154" i="4"/>
  <c r="I136" i="4" s="1"/>
  <c r="K136" i="4" s="1"/>
  <c r="J156" i="4"/>
  <c r="L158" i="4"/>
  <c r="M158" i="4"/>
  <c r="N158" i="4"/>
  <c r="P158" i="4"/>
  <c r="Q158" i="4"/>
  <c r="R158" i="4"/>
  <c r="S158" i="4"/>
  <c r="O161" i="4"/>
  <c r="P161" i="4"/>
  <c r="T161" i="4"/>
  <c r="U161" i="4"/>
  <c r="L162" i="4"/>
  <c r="O162" i="4" s="1"/>
  <c r="M162" i="4"/>
  <c r="P162" i="4" s="1"/>
  <c r="N162" i="4"/>
  <c r="Q162" i="4"/>
  <c r="Q160" i="4" s="1"/>
  <c r="T160" i="4" s="1"/>
  <c r="R162" i="4"/>
  <c r="U162" i="4" s="1"/>
  <c r="S162" i="4"/>
  <c r="S160" i="4" s="1"/>
  <c r="Q163" i="4"/>
  <c r="T163" i="4" s="1"/>
  <c r="R163" i="4"/>
  <c r="S163" i="4"/>
  <c r="U163" i="4"/>
  <c r="O164" i="4"/>
  <c r="P164" i="4"/>
  <c r="T164" i="4"/>
  <c r="U164" i="4"/>
  <c r="L165" i="4"/>
  <c r="M165" i="4"/>
  <c r="P165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M174" i="4"/>
  <c r="N174" i="4"/>
  <c r="P174" i="4"/>
  <c r="Q174" i="4"/>
  <c r="R174" i="4"/>
  <c r="S174" i="4"/>
  <c r="O177" i="4"/>
  <c r="P177" i="4"/>
  <c r="T177" i="4"/>
  <c r="U177" i="4"/>
  <c r="L178" i="4"/>
  <c r="M178" i="4"/>
  <c r="N178" i="4"/>
  <c r="N176" i="4" s="1"/>
  <c r="Q178" i="4"/>
  <c r="T178" i="4" s="1"/>
  <c r="R178" i="4"/>
  <c r="S178" i="4"/>
  <c r="S175" i="4" s="1"/>
  <c r="S173" i="4" s="1"/>
  <c r="Q179" i="4"/>
  <c r="T179" i="4" s="1"/>
  <c r="R179" i="4"/>
  <c r="U179" i="4" s="1"/>
  <c r="S179" i="4"/>
  <c r="O180" i="4"/>
  <c r="P180" i="4"/>
  <c r="T180" i="4"/>
  <c r="U180" i="4"/>
  <c r="L181" i="4"/>
  <c r="L179" i="4" s="1"/>
  <c r="O179" i="4" s="1"/>
  <c r="M181" i="4"/>
  <c r="M179" i="4" s="1"/>
  <c r="P179" i="4" s="1"/>
  <c r="N181" i="4"/>
  <c r="T181" i="4"/>
  <c r="U181" i="4"/>
  <c r="I183" i="4"/>
  <c r="I172" i="4" s="1"/>
  <c r="K184" i="4"/>
  <c r="L187" i="4"/>
  <c r="O187" i="4" s="1"/>
  <c r="M187" i="4"/>
  <c r="N187" i="4"/>
  <c r="P187" i="4"/>
  <c r="Q187" i="4"/>
  <c r="R187" i="4"/>
  <c r="U187" i="4" s="1"/>
  <c r="S187" i="4"/>
  <c r="O190" i="4"/>
  <c r="P190" i="4"/>
  <c r="T190" i="4"/>
  <c r="U190" i="4"/>
  <c r="L191" i="4"/>
  <c r="M191" i="4"/>
  <c r="N191" i="4"/>
  <c r="Q191" i="4"/>
  <c r="R191" i="4"/>
  <c r="R189" i="4" s="1"/>
  <c r="S191" i="4"/>
  <c r="O193" i="4"/>
  <c r="P193" i="4"/>
  <c r="T193" i="4"/>
  <c r="U193" i="4"/>
  <c r="L194" i="4"/>
  <c r="O194" i="4" s="1"/>
  <c r="M194" i="4"/>
  <c r="N194" i="4"/>
  <c r="N192" i="4" s="1"/>
  <c r="Q194" i="4"/>
  <c r="T194" i="4" s="1"/>
  <c r="R194" i="4"/>
  <c r="U194" i="4" s="1"/>
  <c r="S194" i="4"/>
  <c r="S192" i="4" s="1"/>
  <c r="J195" i="4"/>
  <c r="L196" i="4"/>
  <c r="O196" i="4" s="1"/>
  <c r="P196" i="4"/>
  <c r="I198" i="4"/>
  <c r="I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21" i="4" s="1"/>
  <c r="I230" i="4"/>
  <c r="K230" i="4" s="1"/>
  <c r="N232" i="4"/>
  <c r="N233" i="4"/>
  <c r="N234" i="4"/>
  <c r="N235" i="4"/>
  <c r="N236" i="4"/>
  <c r="J238" i="4"/>
  <c r="I240" i="4"/>
  <c r="K240" i="4" s="1"/>
  <c r="J240" i="4"/>
  <c r="I241" i="4"/>
  <c r="J241" i="4"/>
  <c r="K241" i="4"/>
  <c r="J242" i="4"/>
  <c r="J231" i="4" s="1"/>
  <c r="J185" i="4" s="1"/>
  <c r="N243" i="4"/>
  <c r="P243" i="4"/>
  <c r="L244" i="4"/>
  <c r="L245" i="4"/>
  <c r="L246" i="4"/>
  <c r="L247" i="4"/>
  <c r="I249" i="4"/>
  <c r="K251" i="4"/>
  <c r="K252" i="4"/>
  <c r="J253" i="4"/>
  <c r="N254" i="4"/>
  <c r="P254" i="4"/>
  <c r="L255" i="4"/>
  <c r="L256" i="4"/>
  <c r="L257" i="4"/>
  <c r="L258" i="4"/>
  <c r="I260" i="4"/>
  <c r="K260" i="4" s="1"/>
  <c r="K262" i="4"/>
  <c r="K263" i="4"/>
  <c r="J265" i="4"/>
  <c r="L267" i="4"/>
  <c r="M267" i="4"/>
  <c r="N267" i="4"/>
  <c r="O267" i="4"/>
  <c r="P267" i="4"/>
  <c r="Q267" i="4"/>
  <c r="R267" i="4"/>
  <c r="S267" i="4"/>
  <c r="U267" i="4"/>
  <c r="O270" i="4"/>
  <c r="P270" i="4"/>
  <c r="T270" i="4"/>
  <c r="U270" i="4"/>
  <c r="L271" i="4"/>
  <c r="M271" i="4"/>
  <c r="N271" i="4"/>
  <c r="N269" i="4" s="1"/>
  <c r="Q271" i="4"/>
  <c r="Q269" i="4" s="1"/>
  <c r="R271" i="4"/>
  <c r="S271" i="4"/>
  <c r="S268" i="4" s="1"/>
  <c r="Q272" i="4"/>
  <c r="T272" i="4" s="1"/>
  <c r="R272" i="4"/>
  <c r="U272" i="4" s="1"/>
  <c r="S272" i="4"/>
  <c r="O273" i="4"/>
  <c r="P273" i="4"/>
  <c r="T273" i="4"/>
  <c r="U273" i="4"/>
  <c r="L274" i="4"/>
  <c r="M274" i="4"/>
  <c r="P274" i="4" s="1"/>
  <c r="N274" i="4"/>
  <c r="N272" i="4" s="1"/>
  <c r="T274" i="4"/>
  <c r="U274" i="4"/>
  <c r="I276" i="4"/>
  <c r="I265" i="4" s="1"/>
  <c r="J281" i="4"/>
  <c r="L283" i="4"/>
  <c r="M283" i="4"/>
  <c r="P283" i="4" s="1"/>
  <c r="N283" i="4"/>
  <c r="Q283" i="4"/>
  <c r="R283" i="4"/>
  <c r="R282" i="4" s="1"/>
  <c r="U282" i="4" s="1"/>
  <c r="S283" i="4"/>
  <c r="Q284" i="4"/>
  <c r="T284" i="4" s="1"/>
  <c r="R284" i="4"/>
  <c r="U284" i="4" s="1"/>
  <c r="S284" i="4"/>
  <c r="Q285" i="4"/>
  <c r="T285" i="4" s="1"/>
  <c r="R285" i="4"/>
  <c r="S285" i="4"/>
  <c r="U285" i="4"/>
  <c r="O286" i="4"/>
  <c r="P286" i="4"/>
  <c r="T286" i="4"/>
  <c r="U286" i="4"/>
  <c r="L287" i="4"/>
  <c r="O287" i="4" s="1"/>
  <c r="M287" i="4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M290" i="4"/>
  <c r="N290" i="4"/>
  <c r="N288" i="4" s="1"/>
  <c r="T290" i="4"/>
  <c r="U290" i="4"/>
  <c r="I292" i="4"/>
  <c r="I293" i="4"/>
  <c r="I280" i="4" s="1"/>
  <c r="K280" i="4" s="1"/>
  <c r="J293" i="4"/>
  <c r="J280" i="4" s="1"/>
  <c r="I295" i="4"/>
  <c r="K295" i="4" s="1"/>
  <c r="I296" i="4"/>
  <c r="K296" i="4" s="1"/>
  <c r="J302" i="4"/>
  <c r="L304" i="4"/>
  <c r="M304" i="4"/>
  <c r="P304" i="4" s="1"/>
  <c r="N304" i="4"/>
  <c r="O304" i="4"/>
  <c r="Q304" i="4"/>
  <c r="R304" i="4"/>
  <c r="S304" i="4"/>
  <c r="U304" i="4"/>
  <c r="O307" i="4"/>
  <c r="P307" i="4"/>
  <c r="T307" i="4"/>
  <c r="U307" i="4"/>
  <c r="L308" i="4"/>
  <c r="O308" i="4" s="1"/>
  <c r="M308" i="4"/>
  <c r="P308" i="4" s="1"/>
  <c r="N308" i="4"/>
  <c r="Q308" i="4"/>
  <c r="R308" i="4"/>
  <c r="R306" i="4" s="1"/>
  <c r="S308" i="4"/>
  <c r="S306" i="4" s="1"/>
  <c r="Q309" i="4"/>
  <c r="T309" i="4" s="1"/>
  <c r="R309" i="4"/>
  <c r="S309" i="4"/>
  <c r="U309" i="4"/>
  <c r="O310" i="4"/>
  <c r="P310" i="4"/>
  <c r="T310" i="4"/>
  <c r="U310" i="4"/>
  <c r="L311" i="4"/>
  <c r="O311" i="4" s="1"/>
  <c r="M311" i="4"/>
  <c r="P311" i="4" s="1"/>
  <c r="N311" i="4"/>
  <c r="N309" i="4" s="1"/>
  <c r="T311" i="4"/>
  <c r="U311" i="4"/>
  <c r="I314" i="4"/>
  <c r="I302" i="4" s="1"/>
  <c r="K302" i="4" s="1"/>
  <c r="J319" i="4"/>
  <c r="Q320" i="4"/>
  <c r="T320" i="4" s="1"/>
  <c r="S320" i="4"/>
  <c r="L321" i="4"/>
  <c r="O321" i="4" s="1"/>
  <c r="M321" i="4"/>
  <c r="N321" i="4"/>
  <c r="P321" i="4"/>
  <c r="Q321" i="4"/>
  <c r="T321" i="4" s="1"/>
  <c r="R321" i="4"/>
  <c r="U321" i="4" s="1"/>
  <c r="S321" i="4"/>
  <c r="Q322" i="4"/>
  <c r="T322" i="4" s="1"/>
  <c r="R322" i="4"/>
  <c r="U322" i="4" s="1"/>
  <c r="S322" i="4"/>
  <c r="Q323" i="4"/>
  <c r="T323" i="4" s="1"/>
  <c r="R323" i="4"/>
  <c r="U323" i="4" s="1"/>
  <c r="S323" i="4"/>
  <c r="O324" i="4"/>
  <c r="P324" i="4"/>
  <c r="T324" i="4"/>
  <c r="U324" i="4"/>
  <c r="L325" i="4"/>
  <c r="M325" i="4"/>
  <c r="M323" i="4" s="1"/>
  <c r="P323" i="4" s="1"/>
  <c r="N325" i="4"/>
  <c r="N323" i="4" s="1"/>
  <c r="T325" i="4"/>
  <c r="U325" i="4"/>
  <c r="Q326" i="4"/>
  <c r="R326" i="4"/>
  <c r="U326" i="4" s="1"/>
  <c r="S326" i="4"/>
  <c r="T326" i="4"/>
  <c r="O327" i="4"/>
  <c r="P327" i="4"/>
  <c r="T327" i="4"/>
  <c r="U327" i="4"/>
  <c r="L328" i="4"/>
  <c r="M328" i="4"/>
  <c r="P328" i="4" s="1"/>
  <c r="N328" i="4"/>
  <c r="N326" i="4" s="1"/>
  <c r="T328" i="4"/>
  <c r="U328" i="4"/>
  <c r="I330" i="4"/>
  <c r="I319" i="4" s="1"/>
  <c r="K319" i="4" s="1"/>
  <c r="L334" i="4"/>
  <c r="O334" i="4" s="1"/>
  <c r="M334" i="4"/>
  <c r="P334" i="4" s="1"/>
  <c r="N334" i="4"/>
  <c r="Q334" i="4"/>
  <c r="R334" i="4"/>
  <c r="S334" i="4"/>
  <c r="T334" i="4"/>
  <c r="Q335" i="4"/>
  <c r="T335" i="4" s="1"/>
  <c r="R335" i="4"/>
  <c r="U335" i="4" s="1"/>
  <c r="S335" i="4"/>
  <c r="Q336" i="4"/>
  <c r="R336" i="4"/>
  <c r="U336" i="4" s="1"/>
  <c r="S336" i="4"/>
  <c r="T336" i="4"/>
  <c r="O337" i="4"/>
  <c r="P337" i="4"/>
  <c r="T337" i="4"/>
  <c r="U337" i="4"/>
  <c r="L338" i="4"/>
  <c r="L336" i="4" s="1"/>
  <c r="M338" i="4"/>
  <c r="N338" i="4"/>
  <c r="T338" i="4"/>
  <c r="U338" i="4"/>
  <c r="Q339" i="4"/>
  <c r="T339" i="4" s="1"/>
  <c r="R339" i="4"/>
  <c r="S339" i="4"/>
  <c r="U339" i="4"/>
  <c r="O340" i="4"/>
  <c r="P340" i="4"/>
  <c r="T340" i="4"/>
  <c r="U340" i="4"/>
  <c r="L341" i="4"/>
  <c r="L339" i="4" s="1"/>
  <c r="O339" i="4" s="1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L357" i="4"/>
  <c r="O357" i="4" s="1"/>
  <c r="M357" i="4"/>
  <c r="N357" i="4"/>
  <c r="Q357" i="4"/>
  <c r="T357" i="4" s="1"/>
  <c r="R357" i="4"/>
  <c r="U357" i="4" s="1"/>
  <c r="S357" i="4"/>
  <c r="S356" i="4" s="1"/>
  <c r="Q358" i="4"/>
  <c r="T358" i="4" s="1"/>
  <c r="R358" i="4"/>
  <c r="S358" i="4"/>
  <c r="U358" i="4"/>
  <c r="Q359" i="4"/>
  <c r="T359" i="4" s="1"/>
  <c r="R359" i="4"/>
  <c r="S359" i="4"/>
  <c r="U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O364" i="4" s="1"/>
  <c r="M364" i="4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O376" i="4" s="1"/>
  <c r="M376" i="4"/>
  <c r="P376" i="4" s="1"/>
  <c r="N376" i="4"/>
  <c r="Q376" i="4"/>
  <c r="R376" i="4"/>
  <c r="U376" i="4" s="1"/>
  <c r="S376" i="4"/>
  <c r="T376" i="4"/>
  <c r="O379" i="4"/>
  <c r="P379" i="4"/>
  <c r="T379" i="4"/>
  <c r="U379" i="4"/>
  <c r="L380" i="4"/>
  <c r="O380" i="4" s="1"/>
  <c r="M380" i="4"/>
  <c r="M378" i="4" s="1"/>
  <c r="P378" i="4" s="1"/>
  <c r="N380" i="4"/>
  <c r="Q380" i="4"/>
  <c r="R380" i="4"/>
  <c r="R378" i="4" s="1"/>
  <c r="S380" i="4"/>
  <c r="S377" i="4" s="1"/>
  <c r="Q381" i="4"/>
  <c r="T381" i="4" s="1"/>
  <c r="R381" i="4"/>
  <c r="U381" i="4" s="1"/>
  <c r="S381" i="4"/>
  <c r="O382" i="4"/>
  <c r="P382" i="4"/>
  <c r="T382" i="4"/>
  <c r="U382" i="4"/>
  <c r="L383" i="4"/>
  <c r="L381" i="4" s="1"/>
  <c r="O381" i="4" s="1"/>
  <c r="M383" i="4"/>
  <c r="M381" i="4" s="1"/>
  <c r="P381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O393" i="4" s="1"/>
  <c r="M393" i="4"/>
  <c r="M392" i="4" s="1"/>
  <c r="P392" i="4" s="1"/>
  <c r="N393" i="4"/>
  <c r="P393" i="4"/>
  <c r="Q393" i="4"/>
  <c r="T393" i="4" s="1"/>
  <c r="R393" i="4"/>
  <c r="S393" i="4"/>
  <c r="L394" i="4"/>
  <c r="O394" i="4" s="1"/>
  <c r="M394" i="4"/>
  <c r="P394" i="4" s="1"/>
  <c r="N394" i="4"/>
  <c r="L395" i="4"/>
  <c r="O395" i="4" s="1"/>
  <c r="M395" i="4"/>
  <c r="P395" i="4" s="1"/>
  <c r="N395" i="4"/>
  <c r="O396" i="4"/>
  <c r="P396" i="4"/>
  <c r="T396" i="4"/>
  <c r="U396" i="4"/>
  <c r="O397" i="4"/>
  <c r="P397" i="4"/>
  <c r="Q397" i="4"/>
  <c r="R397" i="4"/>
  <c r="S397" i="4"/>
  <c r="S394" i="4" s="1"/>
  <c r="L398" i="4"/>
  <c r="O398" i="4" s="1"/>
  <c r="M398" i="4"/>
  <c r="P398" i="4" s="1"/>
  <c r="N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N414" i="4"/>
  <c r="O414" i="4"/>
  <c r="P414" i="4"/>
  <c r="Q414" i="4"/>
  <c r="T414" i="4" s="1"/>
  <c r="R414" i="4"/>
  <c r="S414" i="4"/>
  <c r="U414" i="4"/>
  <c r="O417" i="4"/>
  <c r="P417" i="4"/>
  <c r="T417" i="4"/>
  <c r="U417" i="4"/>
  <c r="L418" i="4"/>
  <c r="L416" i="4" s="1"/>
  <c r="M418" i="4"/>
  <c r="M416" i="4" s="1"/>
  <c r="N418" i="4"/>
  <c r="N416" i="4" s="1"/>
  <c r="Q418" i="4"/>
  <c r="R418" i="4"/>
  <c r="S418" i="4"/>
  <c r="S416" i="4" s="1"/>
  <c r="Q419" i="4"/>
  <c r="T419" i="4" s="1"/>
  <c r="R419" i="4"/>
  <c r="U419" i="4" s="1"/>
  <c r="S419" i="4"/>
  <c r="O420" i="4"/>
  <c r="P420" i="4"/>
  <c r="T420" i="4"/>
  <c r="U420" i="4"/>
  <c r="L421" i="4"/>
  <c r="O421" i="4" s="1"/>
  <c r="M421" i="4"/>
  <c r="P421" i="4" s="1"/>
  <c r="N421" i="4"/>
  <c r="N419" i="4" s="1"/>
  <c r="T421" i="4"/>
  <c r="U421" i="4"/>
  <c r="I424" i="4"/>
  <c r="J424" i="4"/>
  <c r="I425" i="4"/>
  <c r="J425" i="4"/>
  <c r="I432" i="4"/>
  <c r="K432" i="4" s="1"/>
  <c r="J432" i="4"/>
  <c r="I433" i="4"/>
  <c r="J433" i="4"/>
  <c r="I440" i="4"/>
  <c r="J440" i="4"/>
  <c r="J423" i="4" s="1"/>
  <c r="J412" i="4" s="1"/>
  <c r="I441" i="4"/>
  <c r="J446" i="4"/>
  <c r="J447" i="4"/>
  <c r="J441" i="4" s="1"/>
  <c r="I457" i="4"/>
  <c r="I456" i="4" s="1"/>
  <c r="J457" i="4"/>
  <c r="I458" i="4"/>
  <c r="K458" i="4" s="1"/>
  <c r="J459" i="4"/>
  <c r="J460" i="4"/>
  <c r="J467" i="4"/>
  <c r="J468" i="4"/>
  <c r="J475" i="4"/>
  <c r="K475" i="4"/>
  <c r="J476" i="4"/>
  <c r="K476" i="4"/>
  <c r="J477" i="4"/>
  <c r="K477" i="4"/>
  <c r="J482" i="4"/>
  <c r="J483" i="4"/>
  <c r="I484" i="4"/>
  <c r="J484" i="4"/>
  <c r="K484" i="4"/>
  <c r="I485" i="4"/>
  <c r="K485" i="4" s="1"/>
  <c r="J485" i="4"/>
  <c r="L494" i="4"/>
  <c r="M494" i="4"/>
  <c r="P494" i="4" s="1"/>
  <c r="N494" i="4"/>
  <c r="Q494" i="4"/>
  <c r="R494" i="4"/>
  <c r="S494" i="4"/>
  <c r="T494" i="4"/>
  <c r="O497" i="4"/>
  <c r="P497" i="4"/>
  <c r="T497" i="4"/>
  <c r="U497" i="4"/>
  <c r="L498" i="4"/>
  <c r="O498" i="4" s="1"/>
  <c r="M498" i="4"/>
  <c r="P498" i="4" s="1"/>
  <c r="N498" i="4"/>
  <c r="N496" i="4" s="1"/>
  <c r="Q498" i="4"/>
  <c r="R498" i="4"/>
  <c r="S498" i="4"/>
  <c r="S495" i="4" s="1"/>
  <c r="Q499" i="4"/>
  <c r="R499" i="4"/>
  <c r="U499" i="4" s="1"/>
  <c r="S499" i="4"/>
  <c r="T499" i="4"/>
  <c r="O500" i="4"/>
  <c r="P500" i="4"/>
  <c r="T500" i="4"/>
  <c r="U500" i="4"/>
  <c r="L501" i="4"/>
  <c r="O501" i="4" s="1"/>
  <c r="M501" i="4"/>
  <c r="N501" i="4"/>
  <c r="N499" i="4" s="1"/>
  <c r="T501" i="4"/>
  <c r="U501" i="4"/>
  <c r="I503" i="4"/>
  <c r="I504" i="4"/>
  <c r="I505" i="4"/>
  <c r="K505" i="4" s="1"/>
  <c r="I506" i="4"/>
  <c r="K506" i="4" s="1"/>
  <c r="I507" i="4"/>
  <c r="K507" i="4" s="1"/>
  <c r="K508" i="4"/>
  <c r="I509" i="4"/>
  <c r="K509" i="4" s="1"/>
  <c r="I512" i="4"/>
  <c r="J512" i="4"/>
  <c r="K512" i="4"/>
  <c r="L514" i="4"/>
  <c r="M514" i="4"/>
  <c r="P514" i="4" s="1"/>
  <c r="N514" i="4"/>
  <c r="O514" i="4"/>
  <c r="Q514" i="4"/>
  <c r="T514" i="4" s="1"/>
  <c r="R514" i="4"/>
  <c r="U514" i="4" s="1"/>
  <c r="S514" i="4"/>
  <c r="Q515" i="4"/>
  <c r="T515" i="4" s="1"/>
  <c r="R515" i="4"/>
  <c r="U515" i="4" s="1"/>
  <c r="S515" i="4"/>
  <c r="Q516" i="4"/>
  <c r="T516" i="4" s="1"/>
  <c r="R516" i="4"/>
  <c r="U516" i="4" s="1"/>
  <c r="S516" i="4"/>
  <c r="O517" i="4"/>
  <c r="P517" i="4"/>
  <c r="T517" i="4"/>
  <c r="U517" i="4"/>
  <c r="L518" i="4"/>
  <c r="L516" i="4" s="1"/>
  <c r="O516" i="4" s="1"/>
  <c r="M518" i="4"/>
  <c r="M516" i="4" s="1"/>
  <c r="P516" i="4" s="1"/>
  <c r="N518" i="4"/>
  <c r="N516" i="4" s="1"/>
  <c r="T518" i="4"/>
  <c r="U518" i="4"/>
  <c r="Q519" i="4"/>
  <c r="R519" i="4"/>
  <c r="S519" i="4"/>
  <c r="T519" i="4"/>
  <c r="U519" i="4"/>
  <c r="O520" i="4"/>
  <c r="P520" i="4"/>
  <c r="T520" i="4"/>
  <c r="U520" i="4"/>
  <c r="L521" i="4"/>
  <c r="M521" i="4"/>
  <c r="P521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N535" i="4"/>
  <c r="P535" i="4"/>
  <c r="Q535" i="4"/>
  <c r="R535" i="4"/>
  <c r="U535" i="4" s="1"/>
  <c r="S535" i="4"/>
  <c r="Q536" i="4"/>
  <c r="T536" i="4" s="1"/>
  <c r="R536" i="4"/>
  <c r="S536" i="4"/>
  <c r="S534" i="4" s="1"/>
  <c r="Q537" i="4"/>
  <c r="T537" i="4" s="1"/>
  <c r="R537" i="4"/>
  <c r="U537" i="4" s="1"/>
  <c r="S537" i="4"/>
  <c r="O538" i="4"/>
  <c r="P538" i="4"/>
  <c r="T538" i="4"/>
  <c r="U538" i="4"/>
  <c r="L539" i="4"/>
  <c r="L537" i="4" s="1"/>
  <c r="O537" i="4" s="1"/>
  <c r="M539" i="4"/>
  <c r="M537" i="4" s="1"/>
  <c r="P537" i="4" s="1"/>
  <c r="N539" i="4"/>
  <c r="N537" i="4" s="1"/>
  <c r="T539" i="4"/>
  <c r="U539" i="4"/>
  <c r="Q540" i="4"/>
  <c r="R540" i="4"/>
  <c r="S540" i="4"/>
  <c r="T540" i="4"/>
  <c r="U540" i="4"/>
  <c r="O541" i="4"/>
  <c r="P541" i="4"/>
  <c r="T541" i="4"/>
  <c r="U541" i="4"/>
  <c r="L542" i="4"/>
  <c r="L540" i="4" s="1"/>
  <c r="O540" i="4" s="1"/>
  <c r="M542" i="4"/>
  <c r="N542" i="4"/>
  <c r="N540" i="4" s="1"/>
  <c r="T542" i="4"/>
  <c r="U542" i="4"/>
  <c r="I554" i="4"/>
  <c r="K554" i="4" s="1"/>
  <c r="J554" i="4"/>
  <c r="L556" i="4"/>
  <c r="M556" i="4"/>
  <c r="N556" i="4"/>
  <c r="P556" i="4"/>
  <c r="Q556" i="4"/>
  <c r="T556" i="4" s="1"/>
  <c r="R556" i="4"/>
  <c r="S556" i="4"/>
  <c r="Q557" i="4"/>
  <c r="T557" i="4" s="1"/>
  <c r="R557" i="4"/>
  <c r="U557" i="4" s="1"/>
  <c r="S557" i="4"/>
  <c r="Q558" i="4"/>
  <c r="T558" i="4" s="1"/>
  <c r="R558" i="4"/>
  <c r="S558" i="4"/>
  <c r="U558" i="4"/>
  <c r="O559" i="4"/>
  <c r="P559" i="4"/>
  <c r="T559" i="4"/>
  <c r="U559" i="4"/>
  <c r="L560" i="4"/>
  <c r="M560" i="4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M563" i="4"/>
  <c r="M561" i="4" s="1"/>
  <c r="P561" i="4" s="1"/>
  <c r="N563" i="4"/>
  <c r="N561" i="4" s="1"/>
  <c r="T563" i="4"/>
  <c r="U563" i="4"/>
  <c r="I575" i="4"/>
  <c r="J575" i="4"/>
  <c r="K575" i="4"/>
  <c r="L577" i="4"/>
  <c r="O577" i="4" s="1"/>
  <c r="M577" i="4"/>
  <c r="N577" i="4"/>
  <c r="Q577" i="4"/>
  <c r="R577" i="4"/>
  <c r="U577" i="4" s="1"/>
  <c r="S577" i="4"/>
  <c r="T577" i="4"/>
  <c r="Q578" i="4"/>
  <c r="T578" i="4" s="1"/>
  <c r="R578" i="4"/>
  <c r="S578" i="4"/>
  <c r="U578" i="4"/>
  <c r="Q579" i="4"/>
  <c r="R579" i="4"/>
  <c r="U579" i="4" s="1"/>
  <c r="S579" i="4"/>
  <c r="T579" i="4"/>
  <c r="O580" i="4"/>
  <c r="P580" i="4"/>
  <c r="T580" i="4"/>
  <c r="U580" i="4"/>
  <c r="L581" i="4"/>
  <c r="M581" i="4"/>
  <c r="P581" i="4" s="1"/>
  <c r="N581" i="4"/>
  <c r="N579" i="4" s="1"/>
  <c r="T581" i="4"/>
  <c r="U581" i="4"/>
  <c r="Q582" i="4"/>
  <c r="T582" i="4" s="1"/>
  <c r="R582" i="4"/>
  <c r="S582" i="4"/>
  <c r="U582" i="4"/>
  <c r="O583" i="4"/>
  <c r="P583" i="4"/>
  <c r="T583" i="4"/>
  <c r="U583" i="4"/>
  <c r="L584" i="4"/>
  <c r="L582" i="4" s="1"/>
  <c r="O582" i="4" s="1"/>
  <c r="M584" i="4"/>
  <c r="N584" i="4"/>
  <c r="N582" i="4" s="1"/>
  <c r="T584" i="4"/>
  <c r="U584" i="4"/>
  <c r="L600" i="4"/>
  <c r="M600" i="4"/>
  <c r="N600" i="4"/>
  <c r="O600" i="4"/>
  <c r="Q600" i="4"/>
  <c r="R600" i="4"/>
  <c r="S600" i="4"/>
  <c r="T600" i="4"/>
  <c r="U600" i="4"/>
  <c r="O603" i="4"/>
  <c r="P603" i="4"/>
  <c r="T603" i="4"/>
  <c r="U603" i="4"/>
  <c r="L604" i="4"/>
  <c r="O604" i="4" s="1"/>
  <c r="M604" i="4"/>
  <c r="P604" i="4" s="1"/>
  <c r="N604" i="4"/>
  <c r="N602" i="4" s="1"/>
  <c r="Q604" i="4"/>
  <c r="R604" i="4"/>
  <c r="R602" i="4" s="1"/>
  <c r="U602" i="4" s="1"/>
  <c r="S604" i="4"/>
  <c r="O606" i="4"/>
  <c r="P606" i="4"/>
  <c r="T606" i="4"/>
  <c r="U606" i="4"/>
  <c r="L607" i="4"/>
  <c r="O607" i="4" s="1"/>
  <c r="M607" i="4"/>
  <c r="P607" i="4" s="1"/>
  <c r="N607" i="4"/>
  <c r="N605" i="4" s="1"/>
  <c r="Q607" i="4"/>
  <c r="T607" i="4" s="1"/>
  <c r="R607" i="4"/>
  <c r="S607" i="4"/>
  <c r="S605" i="4" s="1"/>
  <c r="N616" i="4"/>
  <c r="L617" i="4"/>
  <c r="M617" i="4"/>
  <c r="P617" i="4" s="1"/>
  <c r="N617" i="4"/>
  <c r="Q617" i="4"/>
  <c r="T617" i="4" s="1"/>
  <c r="R617" i="4"/>
  <c r="S617" i="4"/>
  <c r="L618" i="4"/>
  <c r="O618" i="4" s="1"/>
  <c r="M618" i="4"/>
  <c r="P618" i="4" s="1"/>
  <c r="N618" i="4"/>
  <c r="L619" i="4"/>
  <c r="M619" i="4"/>
  <c r="P619" i="4" s="1"/>
  <c r="N619" i="4"/>
  <c r="O619" i="4"/>
  <c r="O620" i="4"/>
  <c r="P620" i="4"/>
  <c r="T620" i="4"/>
  <c r="U620" i="4"/>
  <c r="O621" i="4"/>
  <c r="P621" i="4"/>
  <c r="Q621" i="4"/>
  <c r="Q619" i="4" s="1"/>
  <c r="R621" i="4"/>
  <c r="R618" i="4" s="1"/>
  <c r="S621" i="4"/>
  <c r="L622" i="4"/>
  <c r="O622" i="4" s="1"/>
  <c r="M622" i="4"/>
  <c r="P622" i="4" s="1"/>
  <c r="N622" i="4"/>
  <c r="Q622" i="4"/>
  <c r="R622" i="4"/>
  <c r="U622" i="4" s="1"/>
  <c r="S622" i="4"/>
  <c r="T622" i="4"/>
  <c r="O623" i="4"/>
  <c r="P623" i="4"/>
  <c r="T623" i="4"/>
  <c r="U623" i="4"/>
  <c r="O624" i="4"/>
  <c r="P624" i="4"/>
  <c r="T624" i="4"/>
  <c r="U624" i="4"/>
  <c r="I626" i="4"/>
  <c r="K631" i="4" s="1"/>
  <c r="I627" i="4"/>
  <c r="K627" i="4" s="1"/>
  <c r="I628" i="4"/>
  <c r="K628" i="4" s="1"/>
  <c r="J632" i="4"/>
  <c r="I635" i="4"/>
  <c r="K635" i="4" s="1"/>
  <c r="J636" i="4"/>
  <c r="J635" i="4" s="1"/>
  <c r="L643" i="4"/>
  <c r="O643" i="4" s="1"/>
  <c r="M643" i="4"/>
  <c r="P643" i="4" s="1"/>
  <c r="N643" i="4"/>
  <c r="Q643" i="4"/>
  <c r="T643" i="4" s="1"/>
  <c r="R643" i="4"/>
  <c r="S643" i="4"/>
  <c r="U643" i="4"/>
  <c r="L644" i="4"/>
  <c r="O644" i="4" s="1"/>
  <c r="M644" i="4"/>
  <c r="P644" i="4" s="1"/>
  <c r="N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T647" i="4" s="1"/>
  <c r="R647" i="4"/>
  <c r="R645" i="4" s="1"/>
  <c r="U645" i="4" s="1"/>
  <c r="S647" i="4"/>
  <c r="S644" i="4" s="1"/>
  <c r="S642" i="4" s="1"/>
  <c r="L648" i="4"/>
  <c r="O648" i="4" s="1"/>
  <c r="M648" i="4"/>
  <c r="N648" i="4"/>
  <c r="P648" i="4"/>
  <c r="Q648" i="4"/>
  <c r="R648" i="4"/>
  <c r="S648" i="4"/>
  <c r="T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K673" i="4" s="1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M691" i="4"/>
  <c r="P691" i="4" s="1"/>
  <c r="N691" i="4"/>
  <c r="Q691" i="4"/>
  <c r="R691" i="4"/>
  <c r="U691" i="4" s="1"/>
  <c r="S691" i="4"/>
  <c r="T691" i="4"/>
  <c r="L692" i="4"/>
  <c r="M692" i="4"/>
  <c r="N692" i="4"/>
  <c r="O692" i="4"/>
  <c r="P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3" i="4" s="1"/>
  <c r="R695" i="4"/>
  <c r="R692" i="4" s="1"/>
  <c r="S695" i="4"/>
  <c r="S692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09" i="4"/>
  <c r="J710" i="4"/>
  <c r="K710" i="4"/>
  <c r="J712" i="4"/>
  <c r="K712" i="4"/>
  <c r="L715" i="4"/>
  <c r="M715" i="4"/>
  <c r="N715" i="4"/>
  <c r="Q715" i="4"/>
  <c r="T715" i="4" s="1"/>
  <c r="R715" i="4"/>
  <c r="R714" i="4" s="1"/>
  <c r="U714" i="4" s="1"/>
  <c r="S715" i="4"/>
  <c r="L716" i="4"/>
  <c r="O716" i="4" s="1"/>
  <c r="M716" i="4"/>
  <c r="P716" i="4" s="1"/>
  <c r="N716" i="4"/>
  <c r="N714" i="4" s="1"/>
  <c r="Q716" i="4"/>
  <c r="T716" i="4" s="1"/>
  <c r="R716" i="4"/>
  <c r="U716" i="4" s="1"/>
  <c r="S716" i="4"/>
  <c r="L717" i="4"/>
  <c r="M717" i="4"/>
  <c r="P717" i="4" s="1"/>
  <c r="N717" i="4"/>
  <c r="O717" i="4"/>
  <c r="Q717" i="4"/>
  <c r="T717" i="4" s="1"/>
  <c r="R717" i="4"/>
  <c r="S717" i="4"/>
  <c r="U717" i="4"/>
  <c r="O718" i="4"/>
  <c r="P718" i="4"/>
  <c r="T718" i="4"/>
  <c r="U718" i="4"/>
  <c r="O719" i="4"/>
  <c r="P719" i="4"/>
  <c r="T719" i="4"/>
  <c r="U719" i="4"/>
  <c r="L720" i="4"/>
  <c r="M720" i="4"/>
  <c r="N720" i="4"/>
  <c r="O720" i="4"/>
  <c r="P720" i="4"/>
  <c r="Q720" i="4"/>
  <c r="T720" i="4" s="1"/>
  <c r="R720" i="4"/>
  <c r="S720" i="4"/>
  <c r="U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K727" i="4" s="1"/>
  <c r="J727" i="4"/>
  <c r="L729" i="4"/>
  <c r="M729" i="4"/>
  <c r="N729" i="4"/>
  <c r="Q729" i="4"/>
  <c r="T729" i="4" s="1"/>
  <c r="R729" i="4"/>
  <c r="S729" i="4"/>
  <c r="L730" i="4"/>
  <c r="M730" i="4"/>
  <c r="P730" i="4" s="1"/>
  <c r="N730" i="4"/>
  <c r="N728" i="4" s="1"/>
  <c r="O730" i="4"/>
  <c r="L731" i="4"/>
  <c r="O731" i="4" s="1"/>
  <c r="M731" i="4"/>
  <c r="N731" i="4"/>
  <c r="P731" i="4"/>
  <c r="O732" i="4"/>
  <c r="P732" i="4"/>
  <c r="T732" i="4"/>
  <c r="U732" i="4"/>
  <c r="O733" i="4"/>
  <c r="P733" i="4"/>
  <c r="Q733" i="4"/>
  <c r="Q730" i="4" s="1"/>
  <c r="R733" i="4"/>
  <c r="R731" i="4" s="1"/>
  <c r="S733" i="4"/>
  <c r="S731" i="4" s="1"/>
  <c r="L734" i="4"/>
  <c r="O734" i="4" s="1"/>
  <c r="M734" i="4"/>
  <c r="P734" i="4" s="1"/>
  <c r="N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0" i="4"/>
  <c r="O760" i="4" s="1"/>
  <c r="L761" i="4"/>
  <c r="O761" i="4" s="1"/>
  <c r="M761" i="4"/>
  <c r="M760" i="4" s="1"/>
  <c r="P760" i="4" s="1"/>
  <c r="N761" i="4"/>
  <c r="Q761" i="4"/>
  <c r="R761" i="4"/>
  <c r="U761" i="4" s="1"/>
  <c r="S761" i="4"/>
  <c r="T761" i="4"/>
  <c r="L762" i="4"/>
  <c r="O762" i="4" s="1"/>
  <c r="M762" i="4"/>
  <c r="N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R765" i="4"/>
  <c r="R762" i="4" s="1"/>
  <c r="S765" i="4"/>
  <c r="S763" i="4" s="1"/>
  <c r="L766" i="4"/>
  <c r="M766" i="4"/>
  <c r="P766" i="4" s="1"/>
  <c r="N766" i="4"/>
  <c r="O766" i="4"/>
  <c r="Q766" i="4"/>
  <c r="T766" i="4" s="1"/>
  <c r="R766" i="4"/>
  <c r="S766" i="4"/>
  <c r="U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I774" i="4"/>
  <c r="I775" i="4"/>
  <c r="I776" i="4"/>
  <c r="H777" i="4"/>
  <c r="I778" i="4"/>
  <c r="J778" i="4"/>
  <c r="I779" i="4"/>
  <c r="J779" i="4"/>
  <c r="I780" i="4"/>
  <c r="J780" i="4"/>
  <c r="I781" i="4"/>
  <c r="J781" i="4"/>
  <c r="I782" i="4"/>
  <c r="K782" i="4" s="1"/>
  <c r="J782" i="4"/>
  <c r="I783" i="4"/>
  <c r="K783" i="4" s="1"/>
  <c r="J783" i="4"/>
  <c r="I784" i="4"/>
  <c r="J784" i="4"/>
  <c r="I785" i="4"/>
  <c r="J785" i="4"/>
  <c r="A788" i="4"/>
  <c r="A789" i="4"/>
  <c r="L22" i="3"/>
  <c r="L19" i="3" s="1"/>
  <c r="M22" i="3"/>
  <c r="M19" i="3" s="1"/>
  <c r="N22" i="3"/>
  <c r="Q22" i="3"/>
  <c r="R22" i="3"/>
  <c r="R19" i="3" s="1"/>
  <c r="S22" i="3"/>
  <c r="L25" i="3"/>
  <c r="M25" i="3"/>
  <c r="N25" i="3"/>
  <c r="Q25" i="3"/>
  <c r="R25" i="3"/>
  <c r="S25" i="3"/>
  <c r="T25" i="3"/>
  <c r="L45" i="3"/>
  <c r="M45" i="3"/>
  <c r="N45" i="3"/>
  <c r="O45" i="3"/>
  <c r="Q45" i="3"/>
  <c r="Q44" i="3" s="1"/>
  <c r="T44" i="3" s="1"/>
  <c r="R45" i="3"/>
  <c r="U45" i="3" s="1"/>
  <c r="S45" i="3"/>
  <c r="T45" i="3"/>
  <c r="Q46" i="3"/>
  <c r="T46" i="3" s="1"/>
  <c r="R46" i="3"/>
  <c r="S46" i="3"/>
  <c r="U46" i="3"/>
  <c r="Q47" i="3"/>
  <c r="T47" i="3" s="1"/>
  <c r="R47" i="3"/>
  <c r="U47" i="3" s="1"/>
  <c r="S47" i="3"/>
  <c r="O48" i="3"/>
  <c r="P48" i="3"/>
  <c r="T48" i="3"/>
  <c r="U48" i="3"/>
  <c r="L49" i="3"/>
  <c r="M49" i="3"/>
  <c r="N49" i="3"/>
  <c r="N47" i="3" s="1"/>
  <c r="T49" i="3"/>
  <c r="U49" i="3"/>
  <c r="Q50" i="3"/>
  <c r="R50" i="3"/>
  <c r="S50" i="3"/>
  <c r="T50" i="3"/>
  <c r="U50" i="3"/>
  <c r="O51" i="3"/>
  <c r="P51" i="3"/>
  <c r="T51" i="3"/>
  <c r="U51" i="3"/>
  <c r="L52" i="3"/>
  <c r="M52" i="3"/>
  <c r="N52" i="3"/>
  <c r="N50" i="3" s="1"/>
  <c r="T52" i="3"/>
  <c r="U52" i="3"/>
  <c r="L60" i="3"/>
  <c r="O60" i="3" s="1"/>
  <c r="M60" i="3"/>
  <c r="N60" i="3"/>
  <c r="Q60" i="3"/>
  <c r="Q59" i="3" s="1"/>
  <c r="T59" i="3" s="1"/>
  <c r="R60" i="3"/>
  <c r="U60" i="3" s="1"/>
  <c r="S60" i="3"/>
  <c r="T60" i="3"/>
  <c r="Q61" i="3"/>
  <c r="T61" i="3" s="1"/>
  <c r="R61" i="3"/>
  <c r="U61" i="3" s="1"/>
  <c r="S61" i="3"/>
  <c r="Q62" i="3"/>
  <c r="T62" i="3" s="1"/>
  <c r="R62" i="3"/>
  <c r="U62" i="3" s="1"/>
  <c r="S62" i="3"/>
  <c r="O63" i="3"/>
  <c r="P63" i="3"/>
  <c r="T63" i="3"/>
  <c r="U63" i="3"/>
  <c r="L64" i="3"/>
  <c r="L62" i="3" s="1"/>
  <c r="M64" i="3"/>
  <c r="M62" i="3" s="1"/>
  <c r="N64" i="3"/>
  <c r="N62" i="3" s="1"/>
  <c r="T64" i="3"/>
  <c r="U64" i="3"/>
  <c r="Q65" i="3"/>
  <c r="T65" i="3" s="1"/>
  <c r="R65" i="3"/>
  <c r="U65" i="3" s="1"/>
  <c r="S65" i="3"/>
  <c r="O66" i="3"/>
  <c r="P66" i="3"/>
  <c r="T66" i="3"/>
  <c r="U66" i="3"/>
  <c r="L67" i="3"/>
  <c r="M67" i="3"/>
  <c r="N67" i="3"/>
  <c r="N65" i="3" s="1"/>
  <c r="T67" i="3"/>
  <c r="U67" i="3"/>
  <c r="L73" i="3"/>
  <c r="M73" i="3"/>
  <c r="N73" i="3"/>
  <c r="O73" i="3"/>
  <c r="Q73" i="3"/>
  <c r="R73" i="3"/>
  <c r="S73" i="3"/>
  <c r="T73" i="3"/>
  <c r="U73" i="3"/>
  <c r="O76" i="3"/>
  <c r="P76" i="3"/>
  <c r="T76" i="3"/>
  <c r="U76" i="3"/>
  <c r="L77" i="3"/>
  <c r="L75" i="3" s="1"/>
  <c r="M77" i="3"/>
  <c r="M75" i="3" s="1"/>
  <c r="N77" i="3"/>
  <c r="Q77" i="3"/>
  <c r="Q75" i="3" s="1"/>
  <c r="R77" i="3"/>
  <c r="R75" i="3" s="1"/>
  <c r="S77" i="3"/>
  <c r="S75" i="3" s="1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Q78" i="3" s="1"/>
  <c r="T78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K85" i="3" s="1"/>
  <c r="I86" i="3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O98" i="3"/>
  <c r="P98" i="3"/>
  <c r="T98" i="3"/>
  <c r="U98" i="3"/>
  <c r="L99" i="3"/>
  <c r="M99" i="3"/>
  <c r="N99" i="3"/>
  <c r="Q99" i="3"/>
  <c r="Q97" i="3" s="1"/>
  <c r="R99" i="3"/>
  <c r="R96" i="3" s="1"/>
  <c r="S99" i="3"/>
  <c r="S96" i="3" s="1"/>
  <c r="Q100" i="3"/>
  <c r="T100" i="3" s="1"/>
  <c r="R100" i="3"/>
  <c r="S100" i="3"/>
  <c r="U100" i="3"/>
  <c r="O101" i="3"/>
  <c r="P101" i="3"/>
  <c r="T101" i="3"/>
  <c r="U101" i="3"/>
  <c r="L102" i="3"/>
  <c r="L100" i="3" s="1"/>
  <c r="O100" i="3" s="1"/>
  <c r="M102" i="3"/>
  <c r="N102" i="3"/>
  <c r="T102" i="3"/>
  <c r="U102" i="3"/>
  <c r="I108" i="3"/>
  <c r="I92" i="3" s="1"/>
  <c r="I109" i="3"/>
  <c r="K109" i="3" s="1"/>
  <c r="I113" i="3"/>
  <c r="K113" i="3" s="1"/>
  <c r="I114" i="3"/>
  <c r="K114" i="3" s="1"/>
  <c r="J116" i="3"/>
  <c r="L118" i="3"/>
  <c r="O118" i="3" s="1"/>
  <c r="M118" i="3"/>
  <c r="N118" i="3"/>
  <c r="Q118" i="3"/>
  <c r="R118" i="3"/>
  <c r="S118" i="3"/>
  <c r="U118" i="3"/>
  <c r="O121" i="3"/>
  <c r="P121" i="3"/>
  <c r="T121" i="3"/>
  <c r="U121" i="3"/>
  <c r="L122" i="3"/>
  <c r="M122" i="3"/>
  <c r="M120" i="3" s="1"/>
  <c r="P120" i="3" s="1"/>
  <c r="N122" i="3"/>
  <c r="Q122" i="3"/>
  <c r="R122" i="3"/>
  <c r="S122" i="3"/>
  <c r="O124" i="3"/>
  <c r="P124" i="3"/>
  <c r="T124" i="3"/>
  <c r="U124" i="3"/>
  <c r="L125" i="3"/>
  <c r="M125" i="3"/>
  <c r="N125" i="3"/>
  <c r="N123" i="3" s="1"/>
  <c r="Q125" i="3"/>
  <c r="R125" i="3"/>
  <c r="S125" i="3"/>
  <c r="S123" i="3" s="1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P140" i="3"/>
  <c r="Q140" i="3"/>
  <c r="R140" i="3"/>
  <c r="S140" i="3"/>
  <c r="O143" i="3"/>
  <c r="P143" i="3"/>
  <c r="T143" i="3"/>
  <c r="U143" i="3"/>
  <c r="L144" i="3"/>
  <c r="M144" i="3"/>
  <c r="N144" i="3"/>
  <c r="Q144" i="3"/>
  <c r="Q142" i="3" s="1"/>
  <c r="R144" i="3"/>
  <c r="S144" i="3"/>
  <c r="O146" i="3"/>
  <c r="P146" i="3"/>
  <c r="T146" i="3"/>
  <c r="U146" i="3"/>
  <c r="L147" i="3"/>
  <c r="M147" i="3"/>
  <c r="N147" i="3"/>
  <c r="N145" i="3" s="1"/>
  <c r="Q147" i="3"/>
  <c r="Q145" i="3" s="1"/>
  <c r="T145" i="3" s="1"/>
  <c r="R147" i="3"/>
  <c r="S147" i="3"/>
  <c r="S145" i="3" s="1"/>
  <c r="I150" i="3"/>
  <c r="K150" i="3" s="1"/>
  <c r="I151" i="3"/>
  <c r="K151" i="3" s="1"/>
  <c r="I152" i="3"/>
  <c r="K152" i="3" s="1"/>
  <c r="I153" i="3"/>
  <c r="K153" i="3" s="1"/>
  <c r="I154" i="3"/>
  <c r="J156" i="3"/>
  <c r="L158" i="3"/>
  <c r="O158" i="3" s="1"/>
  <c r="M158" i="3"/>
  <c r="N158" i="3"/>
  <c r="P158" i="3"/>
  <c r="Q158" i="3"/>
  <c r="T158" i="3" s="1"/>
  <c r="R158" i="3"/>
  <c r="S158" i="3"/>
  <c r="U158" i="3"/>
  <c r="O161" i="3"/>
  <c r="P161" i="3"/>
  <c r="T161" i="3"/>
  <c r="U161" i="3"/>
  <c r="L162" i="3"/>
  <c r="L160" i="3" s="1"/>
  <c r="M162" i="3"/>
  <c r="N162" i="3"/>
  <c r="N160" i="3" s="1"/>
  <c r="Q162" i="3"/>
  <c r="R162" i="3"/>
  <c r="S162" i="3"/>
  <c r="S159" i="3" s="1"/>
  <c r="S157" i="3" s="1"/>
  <c r="Q163" i="3"/>
  <c r="T163" i="3" s="1"/>
  <c r="R163" i="3"/>
  <c r="S163" i="3"/>
  <c r="U163" i="3"/>
  <c r="O164" i="3"/>
  <c r="P164" i="3"/>
  <c r="T164" i="3"/>
  <c r="U164" i="3"/>
  <c r="L165" i="3"/>
  <c r="M165" i="3"/>
  <c r="P165" i="3" s="1"/>
  <c r="N165" i="3"/>
  <c r="N163" i="3" s="1"/>
  <c r="T165" i="3"/>
  <c r="U165" i="3"/>
  <c r="I167" i="3"/>
  <c r="I168" i="3" s="1"/>
  <c r="K168" i="3" s="1"/>
  <c r="J172" i="3"/>
  <c r="L174" i="3"/>
  <c r="O174" i="3" s="1"/>
  <c r="M174" i="3"/>
  <c r="N174" i="3"/>
  <c r="P174" i="3"/>
  <c r="Q174" i="3"/>
  <c r="T174" i="3" s="1"/>
  <c r="R174" i="3"/>
  <c r="U174" i="3" s="1"/>
  <c r="S174" i="3"/>
  <c r="O177" i="3"/>
  <c r="P177" i="3"/>
  <c r="T177" i="3"/>
  <c r="U177" i="3"/>
  <c r="L178" i="3"/>
  <c r="L176" i="3" s="1"/>
  <c r="O176" i="3" s="1"/>
  <c r="M178" i="3"/>
  <c r="P178" i="3" s="1"/>
  <c r="N178" i="3"/>
  <c r="Q178" i="3"/>
  <c r="R178" i="3"/>
  <c r="S178" i="3"/>
  <c r="S175" i="3" s="1"/>
  <c r="Q179" i="3"/>
  <c r="T179" i="3" s="1"/>
  <c r="R179" i="3"/>
  <c r="S179" i="3"/>
  <c r="U179" i="3"/>
  <c r="O180" i="3"/>
  <c r="P180" i="3"/>
  <c r="T180" i="3"/>
  <c r="U180" i="3"/>
  <c r="L181" i="3"/>
  <c r="M181" i="3"/>
  <c r="P181" i="3" s="1"/>
  <c r="N181" i="3"/>
  <c r="N179" i="3" s="1"/>
  <c r="T181" i="3"/>
  <c r="U181" i="3"/>
  <c r="I183" i="3"/>
  <c r="K184" i="3"/>
  <c r="L187" i="3"/>
  <c r="M187" i="3"/>
  <c r="P187" i="3" s="1"/>
  <c r="N187" i="3"/>
  <c r="Q187" i="3"/>
  <c r="T187" i="3" s="1"/>
  <c r="R187" i="3"/>
  <c r="U187" i="3" s="1"/>
  <c r="S187" i="3"/>
  <c r="O190" i="3"/>
  <c r="P190" i="3"/>
  <c r="T190" i="3"/>
  <c r="U190" i="3"/>
  <c r="L191" i="3"/>
  <c r="M191" i="3"/>
  <c r="M189" i="3" s="1"/>
  <c r="N191" i="3"/>
  <c r="N189" i="3" s="1"/>
  <c r="Q191" i="3"/>
  <c r="R191" i="3"/>
  <c r="S191" i="3"/>
  <c r="S189" i="3" s="1"/>
  <c r="O193" i="3"/>
  <c r="P193" i="3"/>
  <c r="T193" i="3"/>
  <c r="U193" i="3"/>
  <c r="L194" i="3"/>
  <c r="O194" i="3" s="1"/>
  <c r="M194" i="3"/>
  <c r="N194" i="3"/>
  <c r="N192" i="3" s="1"/>
  <c r="Q194" i="3"/>
  <c r="Q192" i="3" s="1"/>
  <c r="T192" i="3" s="1"/>
  <c r="R194" i="3"/>
  <c r="U194" i="3" s="1"/>
  <c r="S194" i="3"/>
  <c r="S192" i="3" s="1"/>
  <c r="J195" i="3"/>
  <c r="L196" i="3"/>
  <c r="O196" i="3" s="1"/>
  <c r="P196" i="3"/>
  <c r="I198" i="3"/>
  <c r="K198" i="3" s="1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02" i="3" s="1"/>
  <c r="K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I219" i="3"/>
  <c r="K219" i="3" s="1"/>
  <c r="I220" i="3"/>
  <c r="J221" i="3"/>
  <c r="N222" i="3"/>
  <c r="P222" i="3"/>
  <c r="L223" i="3"/>
  <c r="L224" i="3"/>
  <c r="L225" i="3"/>
  <c r="I228" i="3"/>
  <c r="K228" i="3" s="1"/>
  <c r="I229" i="3"/>
  <c r="K229" i="3" s="1"/>
  <c r="I230" i="3"/>
  <c r="K230" i="3" s="1"/>
  <c r="N233" i="3"/>
  <c r="N234" i="3"/>
  <c r="N235" i="3"/>
  <c r="N236" i="3"/>
  <c r="J238" i="3"/>
  <c r="I240" i="3"/>
  <c r="J240" i="3"/>
  <c r="K240" i="3"/>
  <c r="I241" i="3"/>
  <c r="J241" i="3"/>
  <c r="K241" i="3"/>
  <c r="J242" i="3"/>
  <c r="N243" i="3"/>
  <c r="P243" i="3"/>
  <c r="L244" i="3"/>
  <c r="L245" i="3"/>
  <c r="L246" i="3"/>
  <c r="L247" i="3"/>
  <c r="I249" i="3"/>
  <c r="I242" i="3" s="1"/>
  <c r="K242" i="3" s="1"/>
  <c r="K251" i="3"/>
  <c r="K252" i="3"/>
  <c r="J253" i="3"/>
  <c r="N254" i="3"/>
  <c r="P254" i="3"/>
  <c r="L255" i="3"/>
  <c r="L256" i="3"/>
  <c r="L257" i="3"/>
  <c r="L258" i="3"/>
  <c r="I260" i="3"/>
  <c r="K262" i="3"/>
  <c r="K263" i="3"/>
  <c r="J265" i="3"/>
  <c r="L267" i="3"/>
  <c r="O267" i="3" s="1"/>
  <c r="M267" i="3"/>
  <c r="P267" i="3" s="1"/>
  <c r="N267" i="3"/>
  <c r="Q267" i="3"/>
  <c r="T267" i="3" s="1"/>
  <c r="R267" i="3"/>
  <c r="U267" i="3" s="1"/>
  <c r="S267" i="3"/>
  <c r="O270" i="3"/>
  <c r="P270" i="3"/>
  <c r="T270" i="3"/>
  <c r="U270" i="3"/>
  <c r="L271" i="3"/>
  <c r="L269" i="3" s="1"/>
  <c r="M271" i="3"/>
  <c r="M269" i="3" s="1"/>
  <c r="N271" i="3"/>
  <c r="N269" i="3" s="1"/>
  <c r="Q271" i="3"/>
  <c r="R271" i="3"/>
  <c r="S271" i="3"/>
  <c r="S268" i="3" s="1"/>
  <c r="Q272" i="3"/>
  <c r="T272" i="3" s="1"/>
  <c r="R272" i="3"/>
  <c r="U272" i="3" s="1"/>
  <c r="S272" i="3"/>
  <c r="O273" i="3"/>
  <c r="P273" i="3"/>
  <c r="T273" i="3"/>
  <c r="U273" i="3"/>
  <c r="L274" i="3"/>
  <c r="L272" i="3" s="1"/>
  <c r="O272" i="3" s="1"/>
  <c r="M274" i="3"/>
  <c r="P274" i="3" s="1"/>
  <c r="N274" i="3"/>
  <c r="N272" i="3" s="1"/>
  <c r="T274" i="3"/>
  <c r="U274" i="3"/>
  <c r="I276" i="3"/>
  <c r="I265" i="3" s="1"/>
  <c r="K265" i="3" s="1"/>
  <c r="J281" i="3"/>
  <c r="L283" i="3"/>
  <c r="O283" i="3" s="1"/>
  <c r="M283" i="3"/>
  <c r="N283" i="3"/>
  <c r="Q283" i="3"/>
  <c r="R283" i="3"/>
  <c r="U283" i="3" s="1"/>
  <c r="S283" i="3"/>
  <c r="S282" i="3" s="1"/>
  <c r="T283" i="3"/>
  <c r="Q284" i="3"/>
  <c r="R284" i="3"/>
  <c r="S284" i="3"/>
  <c r="Q285" i="3"/>
  <c r="T285" i="3" s="1"/>
  <c r="R285" i="3"/>
  <c r="U285" i="3" s="1"/>
  <c r="S285" i="3"/>
  <c r="O286" i="3"/>
  <c r="P286" i="3"/>
  <c r="T286" i="3"/>
  <c r="U286" i="3"/>
  <c r="L287" i="3"/>
  <c r="M287" i="3"/>
  <c r="M285" i="3" s="1"/>
  <c r="P285" i="3" s="1"/>
  <c r="N287" i="3"/>
  <c r="N285" i="3" s="1"/>
  <c r="T287" i="3"/>
  <c r="U287" i="3"/>
  <c r="Q288" i="3"/>
  <c r="R288" i="3"/>
  <c r="U288" i="3" s="1"/>
  <c r="S288" i="3"/>
  <c r="T288" i="3"/>
  <c r="O289" i="3"/>
  <c r="P289" i="3"/>
  <c r="T289" i="3"/>
  <c r="U289" i="3"/>
  <c r="L290" i="3"/>
  <c r="L288" i="3" s="1"/>
  <c r="O288" i="3" s="1"/>
  <c r="M290" i="3"/>
  <c r="N290" i="3"/>
  <c r="N288" i="3" s="1"/>
  <c r="T290" i="3"/>
  <c r="U290" i="3"/>
  <c r="I292" i="3"/>
  <c r="I293" i="3"/>
  <c r="K293" i="3" s="1"/>
  <c r="J293" i="3"/>
  <c r="J280" i="3" s="1"/>
  <c r="I295" i="3"/>
  <c r="K295" i="3" s="1"/>
  <c r="I296" i="3"/>
  <c r="K296" i="3" s="1"/>
  <c r="J302" i="3"/>
  <c r="L304" i="3"/>
  <c r="O304" i="3" s="1"/>
  <c r="M304" i="3"/>
  <c r="N304" i="3"/>
  <c r="P304" i="3"/>
  <c r="Q304" i="3"/>
  <c r="R304" i="3"/>
  <c r="U304" i="3" s="1"/>
  <c r="S304" i="3"/>
  <c r="T304" i="3"/>
  <c r="O307" i="3"/>
  <c r="P307" i="3"/>
  <c r="T307" i="3"/>
  <c r="U307" i="3"/>
  <c r="L308" i="3"/>
  <c r="L306" i="3" s="1"/>
  <c r="O306" i="3" s="1"/>
  <c r="M308" i="3"/>
  <c r="N308" i="3"/>
  <c r="N306" i="3" s="1"/>
  <c r="Q308" i="3"/>
  <c r="Q305" i="3" s="1"/>
  <c r="Q303" i="3" s="1"/>
  <c r="R308" i="3"/>
  <c r="R306" i="3" s="1"/>
  <c r="S308" i="3"/>
  <c r="S306" i="3" s="1"/>
  <c r="Q309" i="3"/>
  <c r="T309" i="3" s="1"/>
  <c r="R309" i="3"/>
  <c r="U309" i="3" s="1"/>
  <c r="S309" i="3"/>
  <c r="O310" i="3"/>
  <c r="P310" i="3"/>
  <c r="T310" i="3"/>
  <c r="U310" i="3"/>
  <c r="L311" i="3"/>
  <c r="L309" i="3" s="1"/>
  <c r="O309" i="3" s="1"/>
  <c r="M311" i="3"/>
  <c r="M309" i="3" s="1"/>
  <c r="P309" i="3" s="1"/>
  <c r="N311" i="3"/>
  <c r="N309" i="3" s="1"/>
  <c r="T311" i="3"/>
  <c r="U311" i="3"/>
  <c r="I314" i="3"/>
  <c r="I302" i="3" s="1"/>
  <c r="K302" i="3" s="1"/>
  <c r="J319" i="3"/>
  <c r="L321" i="3"/>
  <c r="O321" i="3" s="1"/>
  <c r="M321" i="3"/>
  <c r="N321" i="3"/>
  <c r="P321" i="3"/>
  <c r="Q321" i="3"/>
  <c r="R321" i="3"/>
  <c r="S321" i="3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M325" i="3"/>
  <c r="N325" i="3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M328" i="3"/>
  <c r="M326" i="3" s="1"/>
  <c r="N328" i="3"/>
  <c r="N326" i="3" s="1"/>
  <c r="T328" i="3"/>
  <c r="U328" i="3"/>
  <c r="I330" i="3"/>
  <c r="K330" i="3" s="1"/>
  <c r="L334" i="3"/>
  <c r="O334" i="3" s="1"/>
  <c r="M334" i="3"/>
  <c r="N334" i="3"/>
  <c r="Q334" i="3"/>
  <c r="T334" i="3" s="1"/>
  <c r="R334" i="3"/>
  <c r="S334" i="3"/>
  <c r="S333" i="3" s="1"/>
  <c r="U334" i="3"/>
  <c r="Q335" i="3"/>
  <c r="T335" i="3" s="1"/>
  <c r="R335" i="3"/>
  <c r="U335" i="3" s="1"/>
  <c r="S335" i="3"/>
  <c r="Q336" i="3"/>
  <c r="T336" i="3" s="1"/>
  <c r="R336" i="3"/>
  <c r="S336" i="3"/>
  <c r="U336" i="3"/>
  <c r="O337" i="3"/>
  <c r="P337" i="3"/>
  <c r="T337" i="3"/>
  <c r="U337" i="3"/>
  <c r="L338" i="3"/>
  <c r="M338" i="3"/>
  <c r="N338" i="3"/>
  <c r="T338" i="3"/>
  <c r="U338" i="3"/>
  <c r="Q339" i="3"/>
  <c r="R339" i="3"/>
  <c r="U339" i="3" s="1"/>
  <c r="S339" i="3"/>
  <c r="T339" i="3"/>
  <c r="O340" i="3"/>
  <c r="P340" i="3"/>
  <c r="T340" i="3"/>
  <c r="U340" i="3"/>
  <c r="L341" i="3"/>
  <c r="O341" i="3" s="1"/>
  <c r="M341" i="3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D354" i="3"/>
  <c r="L357" i="3"/>
  <c r="M357" i="3"/>
  <c r="N357" i="3"/>
  <c r="Q357" i="3"/>
  <c r="R357" i="3"/>
  <c r="S357" i="3"/>
  <c r="Q358" i="3"/>
  <c r="T358" i="3" s="1"/>
  <c r="R358" i="3"/>
  <c r="S358" i="3"/>
  <c r="U358" i="3"/>
  <c r="Q359" i="3"/>
  <c r="T359" i="3" s="1"/>
  <c r="R359" i="3"/>
  <c r="S359" i="3"/>
  <c r="U359" i="3"/>
  <c r="O360" i="3"/>
  <c r="P360" i="3"/>
  <c r="T360" i="3"/>
  <c r="U360" i="3"/>
  <c r="L361" i="3"/>
  <c r="L359" i="3" s="1"/>
  <c r="M361" i="3"/>
  <c r="N361" i="3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M364" i="3"/>
  <c r="M362" i="3" s="1"/>
  <c r="P362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72" i="3"/>
  <c r="K372" i="3"/>
  <c r="D373" i="3"/>
  <c r="L376" i="3"/>
  <c r="M376" i="3"/>
  <c r="N376" i="3"/>
  <c r="O376" i="3"/>
  <c r="Q376" i="3"/>
  <c r="T376" i="3" s="1"/>
  <c r="R376" i="3"/>
  <c r="U376" i="3" s="1"/>
  <c r="S376" i="3"/>
  <c r="O379" i="3"/>
  <c r="P379" i="3"/>
  <c r="T379" i="3"/>
  <c r="U379" i="3"/>
  <c r="L380" i="3"/>
  <c r="L378" i="3" s="1"/>
  <c r="M380" i="3"/>
  <c r="M378" i="3" s="1"/>
  <c r="N380" i="3"/>
  <c r="N378" i="3" s="1"/>
  <c r="Q380" i="3"/>
  <c r="Q377" i="3" s="1"/>
  <c r="R380" i="3"/>
  <c r="R377" i="3" s="1"/>
  <c r="S380" i="3"/>
  <c r="S377" i="3" s="1"/>
  <c r="Q381" i="3"/>
  <c r="T381" i="3" s="1"/>
  <c r="R381" i="3"/>
  <c r="U381" i="3" s="1"/>
  <c r="S381" i="3"/>
  <c r="O382" i="3"/>
  <c r="P382" i="3"/>
  <c r="T382" i="3"/>
  <c r="U382" i="3"/>
  <c r="L383" i="3"/>
  <c r="L381" i="3" s="1"/>
  <c r="O381" i="3" s="1"/>
  <c r="M383" i="3"/>
  <c r="P383" i="3" s="1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O393" i="3" s="1"/>
  <c r="M393" i="3"/>
  <c r="N393" i="3"/>
  <c r="P393" i="3"/>
  <c r="Q393" i="3"/>
  <c r="R393" i="3"/>
  <c r="U393" i="3" s="1"/>
  <c r="S393" i="3"/>
  <c r="L394" i="3"/>
  <c r="O394" i="3" s="1"/>
  <c r="M394" i="3"/>
  <c r="P394" i="3" s="1"/>
  <c r="N394" i="3"/>
  <c r="N392" i="3" s="1"/>
  <c r="L395" i="3"/>
  <c r="M395" i="3"/>
  <c r="P395" i="3" s="1"/>
  <c r="N395" i="3"/>
  <c r="O395" i="3"/>
  <c r="O396" i="3"/>
  <c r="P396" i="3"/>
  <c r="T396" i="3"/>
  <c r="U396" i="3"/>
  <c r="O397" i="3"/>
  <c r="P397" i="3"/>
  <c r="Q397" i="3"/>
  <c r="T397" i="3" s="1"/>
  <c r="R397" i="3"/>
  <c r="R395" i="3" s="1"/>
  <c r="U395" i="3" s="1"/>
  <c r="S397" i="3"/>
  <c r="S394" i="3" s="1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O414" i="3" s="1"/>
  <c r="M414" i="3"/>
  <c r="P414" i="3" s="1"/>
  <c r="N414" i="3"/>
  <c r="Q414" i="3"/>
  <c r="R414" i="3"/>
  <c r="U414" i="3" s="1"/>
  <c r="S414" i="3"/>
  <c r="O417" i="3"/>
  <c r="P417" i="3"/>
  <c r="T417" i="3"/>
  <c r="U417" i="3"/>
  <c r="L418" i="3"/>
  <c r="M418" i="3"/>
  <c r="N418" i="3"/>
  <c r="Q418" i="3"/>
  <c r="Q416" i="3" s="1"/>
  <c r="R418" i="3"/>
  <c r="R415" i="3" s="1"/>
  <c r="S418" i="3"/>
  <c r="S415" i="3" s="1"/>
  <c r="S413" i="3" s="1"/>
  <c r="Q419" i="3"/>
  <c r="R419" i="3"/>
  <c r="U419" i="3" s="1"/>
  <c r="S419" i="3"/>
  <c r="T419" i="3"/>
  <c r="O420" i="3"/>
  <c r="P420" i="3"/>
  <c r="T420" i="3"/>
  <c r="U420" i="3"/>
  <c r="L421" i="3"/>
  <c r="M421" i="3"/>
  <c r="P421" i="3" s="1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I441" i="3"/>
  <c r="K441" i="3" s="1"/>
  <c r="J446" i="3"/>
  <c r="J440" i="3" s="1"/>
  <c r="J423" i="3" s="1"/>
  <c r="J412" i="3" s="1"/>
  <c r="J447" i="3"/>
  <c r="J441" i="3" s="1"/>
  <c r="I457" i="3"/>
  <c r="I456" i="3" s="1"/>
  <c r="I458" i="3"/>
  <c r="K458" i="3" s="1"/>
  <c r="J459" i="3"/>
  <c r="J460" i="3"/>
  <c r="J467" i="3"/>
  <c r="J468" i="3"/>
  <c r="J458" i="3" s="1"/>
  <c r="J475" i="3"/>
  <c r="K475" i="3"/>
  <c r="J476" i="3"/>
  <c r="K476" i="3"/>
  <c r="J477" i="3"/>
  <c r="K477" i="3"/>
  <c r="J482" i="3"/>
  <c r="J483" i="3"/>
  <c r="I484" i="3"/>
  <c r="J484" i="3"/>
  <c r="K484" i="3"/>
  <c r="I485" i="3"/>
  <c r="K485" i="3" s="1"/>
  <c r="J485" i="3"/>
  <c r="L494" i="3"/>
  <c r="O494" i="3" s="1"/>
  <c r="M494" i="3"/>
  <c r="N494" i="3"/>
  <c r="P494" i="3"/>
  <c r="Q494" i="3"/>
  <c r="R494" i="3"/>
  <c r="U494" i="3" s="1"/>
  <c r="S494" i="3"/>
  <c r="T494" i="3"/>
  <c r="O497" i="3"/>
  <c r="P497" i="3"/>
  <c r="T497" i="3"/>
  <c r="U497" i="3"/>
  <c r="L498" i="3"/>
  <c r="M498" i="3"/>
  <c r="N498" i="3"/>
  <c r="N496" i="3" s="1"/>
  <c r="Q498" i="3"/>
  <c r="R498" i="3"/>
  <c r="R495" i="3" s="1"/>
  <c r="S498" i="3"/>
  <c r="S495" i="3" s="1"/>
  <c r="Q499" i="3"/>
  <c r="T499" i="3" s="1"/>
  <c r="R499" i="3"/>
  <c r="U499" i="3" s="1"/>
  <c r="S499" i="3"/>
  <c r="O500" i="3"/>
  <c r="P500" i="3"/>
  <c r="T500" i="3"/>
  <c r="U500" i="3"/>
  <c r="L501" i="3"/>
  <c r="O501" i="3" s="1"/>
  <c r="M501" i="3"/>
  <c r="P501" i="3" s="1"/>
  <c r="N501" i="3"/>
  <c r="N499" i="3" s="1"/>
  <c r="T501" i="3"/>
  <c r="U501" i="3"/>
  <c r="I503" i="3"/>
  <c r="I492" i="3" s="1"/>
  <c r="J503" i="3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J512" i="3"/>
  <c r="K512" i="3"/>
  <c r="L514" i="3"/>
  <c r="O514" i="3" s="1"/>
  <c r="M514" i="3"/>
  <c r="N514" i="3"/>
  <c r="Q514" i="3"/>
  <c r="R514" i="3"/>
  <c r="U514" i="3" s="1"/>
  <c r="S514" i="3"/>
  <c r="Q515" i="3"/>
  <c r="T515" i="3" s="1"/>
  <c r="R515" i="3"/>
  <c r="U515" i="3" s="1"/>
  <c r="S515" i="3"/>
  <c r="Q516" i="3"/>
  <c r="T516" i="3" s="1"/>
  <c r="R516" i="3"/>
  <c r="S516" i="3"/>
  <c r="U516" i="3"/>
  <c r="O517" i="3"/>
  <c r="P517" i="3"/>
  <c r="T517" i="3"/>
  <c r="U517" i="3"/>
  <c r="L518" i="3"/>
  <c r="M518" i="3"/>
  <c r="M516" i="3" s="1"/>
  <c r="P516" i="3" s="1"/>
  <c r="N518" i="3"/>
  <c r="N516" i="3" s="1"/>
  <c r="T518" i="3"/>
  <c r="U518" i="3"/>
  <c r="Q519" i="3"/>
  <c r="T519" i="3" s="1"/>
  <c r="R519" i="3"/>
  <c r="S519" i="3"/>
  <c r="U519" i="3"/>
  <c r="O520" i="3"/>
  <c r="P520" i="3"/>
  <c r="T520" i="3"/>
  <c r="U520" i="3"/>
  <c r="L521" i="3"/>
  <c r="O521" i="3" s="1"/>
  <c r="M521" i="3"/>
  <c r="N521" i="3"/>
  <c r="N519" i="3" s="1"/>
  <c r="T521" i="3"/>
  <c r="U521" i="3"/>
  <c r="K523" i="3"/>
  <c r="K524" i="3"/>
  <c r="I533" i="3"/>
  <c r="K533" i="3" s="1"/>
  <c r="J533" i="3"/>
  <c r="Q534" i="3"/>
  <c r="T534" i="3" s="1"/>
  <c r="L535" i="3"/>
  <c r="O535" i="3" s="1"/>
  <c r="M535" i="3"/>
  <c r="N535" i="3"/>
  <c r="P535" i="3"/>
  <c r="Q535" i="3"/>
  <c r="T535" i="3" s="1"/>
  <c r="R535" i="3"/>
  <c r="S535" i="3"/>
  <c r="S534" i="3" s="1"/>
  <c r="Q536" i="3"/>
  <c r="R536" i="3"/>
  <c r="U536" i="3" s="1"/>
  <c r="S536" i="3"/>
  <c r="T536" i="3"/>
  <c r="Q537" i="3"/>
  <c r="T537" i="3" s="1"/>
  <c r="R537" i="3"/>
  <c r="S537" i="3"/>
  <c r="U537" i="3"/>
  <c r="O538" i="3"/>
  <c r="P538" i="3"/>
  <c r="T538" i="3"/>
  <c r="U538" i="3"/>
  <c r="L539" i="3"/>
  <c r="L537" i="3" s="1"/>
  <c r="O537" i="3" s="1"/>
  <c r="M539" i="3"/>
  <c r="N539" i="3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L540" i="3" s="1"/>
  <c r="O540" i="3" s="1"/>
  <c r="M542" i="3"/>
  <c r="P542" i="3" s="1"/>
  <c r="N542" i="3"/>
  <c r="N540" i="3" s="1"/>
  <c r="T542" i="3"/>
  <c r="U542" i="3"/>
  <c r="I554" i="3"/>
  <c r="J554" i="3"/>
  <c r="K554" i="3"/>
  <c r="L556" i="3"/>
  <c r="O556" i="3" s="1"/>
  <c r="M556" i="3"/>
  <c r="N556" i="3"/>
  <c r="Q556" i="3"/>
  <c r="R556" i="3"/>
  <c r="S556" i="3"/>
  <c r="U556" i="3"/>
  <c r="Q557" i="3"/>
  <c r="T557" i="3" s="1"/>
  <c r="R557" i="3"/>
  <c r="R555" i="3" s="1"/>
  <c r="U555" i="3" s="1"/>
  <c r="S557" i="3"/>
  <c r="Q558" i="3"/>
  <c r="T558" i="3" s="1"/>
  <c r="R558" i="3"/>
  <c r="U558" i="3" s="1"/>
  <c r="S558" i="3"/>
  <c r="O559" i="3"/>
  <c r="P559" i="3"/>
  <c r="T559" i="3"/>
  <c r="U559" i="3"/>
  <c r="L560" i="3"/>
  <c r="L558" i="3" s="1"/>
  <c r="O558" i="3" s="1"/>
  <c r="M560" i="3"/>
  <c r="N560" i="3"/>
  <c r="N558" i="3" s="1"/>
  <c r="T560" i="3"/>
  <c r="U560" i="3"/>
  <c r="Q561" i="3"/>
  <c r="R561" i="3"/>
  <c r="S561" i="3"/>
  <c r="T561" i="3"/>
  <c r="U561" i="3"/>
  <c r="O562" i="3"/>
  <c r="P562" i="3"/>
  <c r="T562" i="3"/>
  <c r="U562" i="3"/>
  <c r="L563" i="3"/>
  <c r="L561" i="3" s="1"/>
  <c r="O561" i="3" s="1"/>
  <c r="M563" i="3"/>
  <c r="P563" i="3" s="1"/>
  <c r="N563" i="3"/>
  <c r="N561" i="3" s="1"/>
  <c r="T563" i="3"/>
  <c r="U563" i="3"/>
  <c r="I575" i="3"/>
  <c r="K575" i="3" s="1"/>
  <c r="J575" i="3"/>
  <c r="L577" i="3"/>
  <c r="M577" i="3"/>
  <c r="P577" i="3" s="1"/>
  <c r="N577" i="3"/>
  <c r="Q577" i="3"/>
  <c r="T577" i="3" s="1"/>
  <c r="R577" i="3"/>
  <c r="S577" i="3"/>
  <c r="Q578" i="3"/>
  <c r="T578" i="3" s="1"/>
  <c r="R578" i="3"/>
  <c r="U578" i="3" s="1"/>
  <c r="S578" i="3"/>
  <c r="Q579" i="3"/>
  <c r="T579" i="3" s="1"/>
  <c r="R579" i="3"/>
  <c r="U579" i="3" s="1"/>
  <c r="S579" i="3"/>
  <c r="O580" i="3"/>
  <c r="P580" i="3"/>
  <c r="T580" i="3"/>
  <c r="U580" i="3"/>
  <c r="L581" i="3"/>
  <c r="L579" i="3" s="1"/>
  <c r="M581" i="3"/>
  <c r="N581" i="3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L582" i="3" s="1"/>
  <c r="O582" i="3" s="1"/>
  <c r="M584" i="3"/>
  <c r="P584" i="3" s="1"/>
  <c r="N584" i="3"/>
  <c r="N582" i="3" s="1"/>
  <c r="T584" i="3"/>
  <c r="U584" i="3"/>
  <c r="K586" i="3"/>
  <c r="K587" i="3"/>
  <c r="L600" i="3"/>
  <c r="O600" i="3" s="1"/>
  <c r="M600" i="3"/>
  <c r="N600" i="3"/>
  <c r="P600" i="3"/>
  <c r="Q600" i="3"/>
  <c r="R600" i="3"/>
  <c r="U600" i="3" s="1"/>
  <c r="S600" i="3"/>
  <c r="O603" i="3"/>
  <c r="P603" i="3"/>
  <c r="T603" i="3"/>
  <c r="U603" i="3"/>
  <c r="L604" i="3"/>
  <c r="O604" i="3" s="1"/>
  <c r="M604" i="3"/>
  <c r="M602" i="3" s="1"/>
  <c r="P602" i="3" s="1"/>
  <c r="N604" i="3"/>
  <c r="Q604" i="3"/>
  <c r="R604" i="3"/>
  <c r="U604" i="3" s="1"/>
  <c r="S604" i="3"/>
  <c r="S602" i="3" s="1"/>
  <c r="O606" i="3"/>
  <c r="P606" i="3"/>
  <c r="T606" i="3"/>
  <c r="U606" i="3"/>
  <c r="L607" i="3"/>
  <c r="O607" i="3" s="1"/>
  <c r="M607" i="3"/>
  <c r="M605" i="3" s="1"/>
  <c r="P605" i="3" s="1"/>
  <c r="N607" i="3"/>
  <c r="N605" i="3" s="1"/>
  <c r="Q607" i="3"/>
  <c r="T607" i="3" s="1"/>
  <c r="R607" i="3"/>
  <c r="U607" i="3" s="1"/>
  <c r="S607" i="3"/>
  <c r="S605" i="3" s="1"/>
  <c r="L616" i="3"/>
  <c r="O616" i="3" s="1"/>
  <c r="L617" i="3"/>
  <c r="O617" i="3" s="1"/>
  <c r="M617" i="3"/>
  <c r="N617" i="3"/>
  <c r="Q617" i="3"/>
  <c r="T617" i="3" s="1"/>
  <c r="R617" i="3"/>
  <c r="U617" i="3" s="1"/>
  <c r="S617" i="3"/>
  <c r="L618" i="3"/>
  <c r="M618" i="3"/>
  <c r="N618" i="3"/>
  <c r="O618" i="3"/>
  <c r="P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R619" i="3" s="1"/>
  <c r="S621" i="3"/>
  <c r="S619" i="3" s="1"/>
  <c r="L622" i="3"/>
  <c r="O622" i="3" s="1"/>
  <c r="M622" i="3"/>
  <c r="P622" i="3" s="1"/>
  <c r="N622" i="3"/>
  <c r="Q622" i="3"/>
  <c r="R622" i="3"/>
  <c r="S622" i="3"/>
  <c r="T622" i="3"/>
  <c r="U622" i="3"/>
  <c r="O623" i="3"/>
  <c r="P623" i="3"/>
  <c r="T623" i="3"/>
  <c r="U623" i="3"/>
  <c r="O624" i="3"/>
  <c r="P624" i="3"/>
  <c r="T624" i="3"/>
  <c r="U624" i="3"/>
  <c r="I626" i="3"/>
  <c r="I615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N642" i="3"/>
  <c r="L643" i="3"/>
  <c r="M643" i="3"/>
  <c r="N643" i="3"/>
  <c r="Q643" i="3"/>
  <c r="T643" i="3" s="1"/>
  <c r="R643" i="3"/>
  <c r="S643" i="3"/>
  <c r="L644" i="3"/>
  <c r="O644" i="3" s="1"/>
  <c r="M644" i="3"/>
  <c r="P644" i="3" s="1"/>
  <c r="N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R647" i="3"/>
  <c r="R645" i="3" s="1"/>
  <c r="U645" i="3" s="1"/>
  <c r="S647" i="3"/>
  <c r="L648" i="3"/>
  <c r="O648" i="3" s="1"/>
  <c r="M648" i="3"/>
  <c r="P648" i="3" s="1"/>
  <c r="N648" i="3"/>
  <c r="Q648" i="3"/>
  <c r="T648" i="3" s="1"/>
  <c r="R648" i="3"/>
  <c r="U648" i="3" s="1"/>
  <c r="S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N690" i="3" s="1"/>
  <c r="Q691" i="3"/>
  <c r="T691" i="3" s="1"/>
  <c r="R691" i="3"/>
  <c r="S691" i="3"/>
  <c r="L692" i="3"/>
  <c r="O692" i="3" s="1"/>
  <c r="M692" i="3"/>
  <c r="P692" i="3" s="1"/>
  <c r="N692" i="3"/>
  <c r="L693" i="3"/>
  <c r="M693" i="3"/>
  <c r="P693" i="3" s="1"/>
  <c r="N693" i="3"/>
  <c r="O693" i="3"/>
  <c r="O694" i="3"/>
  <c r="P694" i="3"/>
  <c r="T694" i="3"/>
  <c r="U694" i="3"/>
  <c r="O695" i="3"/>
  <c r="P695" i="3"/>
  <c r="Q695" i="3"/>
  <c r="Q693" i="3" s="1"/>
  <c r="R695" i="3"/>
  <c r="R693" i="3" s="1"/>
  <c r="S695" i="3"/>
  <c r="S692" i="3" s="1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K703" i="3" s="1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N714" i="3"/>
  <c r="L715" i="3"/>
  <c r="O715" i="3" s="1"/>
  <c r="M715" i="3"/>
  <c r="N715" i="3"/>
  <c r="P715" i="3"/>
  <c r="Q715" i="3"/>
  <c r="R715" i="3"/>
  <c r="U715" i="3" s="1"/>
  <c r="S715" i="3"/>
  <c r="T715" i="3"/>
  <c r="L716" i="3"/>
  <c r="O716" i="3" s="1"/>
  <c r="M716" i="3"/>
  <c r="N716" i="3"/>
  <c r="P716" i="3"/>
  <c r="Q716" i="3"/>
  <c r="T716" i="3" s="1"/>
  <c r="R716" i="3"/>
  <c r="U716" i="3" s="1"/>
  <c r="S716" i="3"/>
  <c r="L717" i="3"/>
  <c r="M717" i="3"/>
  <c r="P717" i="3" s="1"/>
  <c r="N717" i="3"/>
  <c r="O717" i="3"/>
  <c r="Q717" i="3"/>
  <c r="R717" i="3"/>
  <c r="U717" i="3" s="1"/>
  <c r="S717" i="3"/>
  <c r="T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S720" i="3"/>
  <c r="U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L729" i="3"/>
  <c r="O729" i="3" s="1"/>
  <c r="M729" i="3"/>
  <c r="N729" i="3"/>
  <c r="N728" i="3" s="1"/>
  <c r="Q729" i="3"/>
  <c r="T729" i="3" s="1"/>
  <c r="R729" i="3"/>
  <c r="S729" i="3"/>
  <c r="U729" i="3"/>
  <c r="L730" i="3"/>
  <c r="M730" i="3"/>
  <c r="N730" i="3"/>
  <c r="P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0" i="3" s="1"/>
  <c r="Q728" i="3" s="1"/>
  <c r="R733" i="3"/>
  <c r="R731" i="3" s="1"/>
  <c r="S733" i="3"/>
  <c r="S730" i="3" s="1"/>
  <c r="L734" i="3"/>
  <c r="O734" i="3" s="1"/>
  <c r="M734" i="3"/>
  <c r="N734" i="3"/>
  <c r="P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N761" i="3"/>
  <c r="P761" i="3"/>
  <c r="Q761" i="3"/>
  <c r="T761" i="3" s="1"/>
  <c r="R761" i="3"/>
  <c r="U761" i="3" s="1"/>
  <c r="S761" i="3"/>
  <c r="L762" i="3"/>
  <c r="O762" i="3" s="1"/>
  <c r="M762" i="3"/>
  <c r="P762" i="3" s="1"/>
  <c r="N762" i="3"/>
  <c r="N760" i="3" s="1"/>
  <c r="L763" i="3"/>
  <c r="M763" i="3"/>
  <c r="N763" i="3"/>
  <c r="O763" i="3"/>
  <c r="P763" i="3"/>
  <c r="O764" i="3"/>
  <c r="P764" i="3"/>
  <c r="T764" i="3"/>
  <c r="U764" i="3"/>
  <c r="O765" i="3"/>
  <c r="P765" i="3"/>
  <c r="Q765" i="3"/>
  <c r="R765" i="3"/>
  <c r="R763" i="3" s="1"/>
  <c r="S765" i="3"/>
  <c r="L766" i="3"/>
  <c r="O766" i="3" s="1"/>
  <c r="M766" i="3"/>
  <c r="N766" i="3"/>
  <c r="P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K782" i="3" s="1"/>
  <c r="J782" i="3"/>
  <c r="I783" i="3"/>
  <c r="K783" i="3" s="1"/>
  <c r="J783" i="3"/>
  <c r="I784" i="3"/>
  <c r="J784" i="3"/>
  <c r="I785" i="3"/>
  <c r="J785" i="3"/>
  <c r="A788" i="3"/>
  <c r="A789" i="3"/>
  <c r="L22" i="2"/>
  <c r="O22" i="2" s="1"/>
  <c r="M22" i="2"/>
  <c r="N22" i="2"/>
  <c r="Q22" i="2"/>
  <c r="T22" i="2" s="1"/>
  <c r="R22" i="2"/>
  <c r="S22" i="2"/>
  <c r="L25" i="2"/>
  <c r="M25" i="2"/>
  <c r="N25" i="2"/>
  <c r="O25" i="2"/>
  <c r="Q25" i="2"/>
  <c r="T25" i="2" s="1"/>
  <c r="R25" i="2"/>
  <c r="U25" i="2" s="1"/>
  <c r="S25" i="2"/>
  <c r="L45" i="2"/>
  <c r="O45" i="2" s="1"/>
  <c r="M45" i="2"/>
  <c r="N45" i="2"/>
  <c r="P45" i="2"/>
  <c r="Q45" i="2"/>
  <c r="R45" i="2"/>
  <c r="U45" i="2" s="1"/>
  <c r="S45" i="2"/>
  <c r="T45" i="2"/>
  <c r="Q46" i="2"/>
  <c r="R46" i="2"/>
  <c r="U46" i="2" s="1"/>
  <c r="S46" i="2"/>
  <c r="T46" i="2"/>
  <c r="Q47" i="2"/>
  <c r="T47" i="2" s="1"/>
  <c r="R47" i="2"/>
  <c r="U47" i="2" s="1"/>
  <c r="S47" i="2"/>
  <c r="O48" i="2"/>
  <c r="P48" i="2"/>
  <c r="T48" i="2"/>
  <c r="U48" i="2"/>
  <c r="L49" i="2"/>
  <c r="M49" i="2"/>
  <c r="N49" i="2"/>
  <c r="N47" i="2" s="1"/>
  <c r="T49" i="2"/>
  <c r="U49" i="2"/>
  <c r="Q50" i="2"/>
  <c r="T50" i="2" s="1"/>
  <c r="R50" i="2"/>
  <c r="U50" i="2" s="1"/>
  <c r="S50" i="2"/>
  <c r="O51" i="2"/>
  <c r="P51" i="2"/>
  <c r="T51" i="2"/>
  <c r="U51" i="2"/>
  <c r="L52" i="2"/>
  <c r="O52" i="2" s="1"/>
  <c r="M52" i="2"/>
  <c r="N52" i="2"/>
  <c r="T52" i="2"/>
  <c r="U52" i="2"/>
  <c r="L60" i="2"/>
  <c r="O60" i="2" s="1"/>
  <c r="M60" i="2"/>
  <c r="N60" i="2"/>
  <c r="P60" i="2"/>
  <c r="Q60" i="2"/>
  <c r="R60" i="2"/>
  <c r="U60" i="2" s="1"/>
  <c r="S60" i="2"/>
  <c r="Q61" i="2"/>
  <c r="R61" i="2"/>
  <c r="U61" i="2" s="1"/>
  <c r="S61" i="2"/>
  <c r="S59" i="2" s="1"/>
  <c r="T61" i="2"/>
  <c r="Q62" i="2"/>
  <c r="R62" i="2"/>
  <c r="U62" i="2" s="1"/>
  <c r="S62" i="2"/>
  <c r="T62" i="2"/>
  <c r="O63" i="2"/>
  <c r="P63" i="2"/>
  <c r="T63" i="2"/>
  <c r="U63" i="2"/>
  <c r="L64" i="2"/>
  <c r="M64" i="2"/>
  <c r="N64" i="2"/>
  <c r="N62" i="2" s="1"/>
  <c r="T64" i="2"/>
  <c r="U64" i="2"/>
  <c r="Q65" i="2"/>
  <c r="T65" i="2" s="1"/>
  <c r="R65" i="2"/>
  <c r="S65" i="2"/>
  <c r="U65" i="2"/>
  <c r="O66" i="2"/>
  <c r="P66" i="2"/>
  <c r="T66" i="2"/>
  <c r="U66" i="2"/>
  <c r="L67" i="2"/>
  <c r="L65" i="2" s="1"/>
  <c r="M67" i="2"/>
  <c r="N67" i="2"/>
  <c r="T67" i="2"/>
  <c r="U67" i="2"/>
  <c r="L73" i="2"/>
  <c r="O73" i="2" s="1"/>
  <c r="M73" i="2"/>
  <c r="N73" i="2"/>
  <c r="P73" i="2"/>
  <c r="Q73" i="2"/>
  <c r="T73" i="2" s="1"/>
  <c r="R73" i="2"/>
  <c r="U73" i="2" s="1"/>
  <c r="S73" i="2"/>
  <c r="O76" i="2"/>
  <c r="P76" i="2"/>
  <c r="T76" i="2"/>
  <c r="U76" i="2"/>
  <c r="L77" i="2"/>
  <c r="M77" i="2"/>
  <c r="N77" i="2"/>
  <c r="N75" i="2" s="1"/>
  <c r="Q77" i="2"/>
  <c r="T77" i="2" s="1"/>
  <c r="R77" i="2"/>
  <c r="R75" i="2" s="1"/>
  <c r="U75" i="2" s="1"/>
  <c r="S77" i="2"/>
  <c r="S75" i="2" s="1"/>
  <c r="O79" i="2"/>
  <c r="P79" i="2"/>
  <c r="T79" i="2"/>
  <c r="U79" i="2"/>
  <c r="L80" i="2"/>
  <c r="L78" i="2" s="1"/>
  <c r="O78" i="2" s="1"/>
  <c r="M80" i="2"/>
  <c r="N80" i="2"/>
  <c r="N78" i="2" s="1"/>
  <c r="Q80" i="2"/>
  <c r="T80" i="2" s="1"/>
  <c r="R80" i="2"/>
  <c r="R78" i="2" s="1"/>
  <c r="U78" i="2" s="1"/>
  <c r="S80" i="2"/>
  <c r="S78" i="2" s="1"/>
  <c r="J82" i="2"/>
  <c r="J70" i="2" s="1"/>
  <c r="J83" i="2"/>
  <c r="J71" i="2" s="1"/>
  <c r="I84" i="2"/>
  <c r="I85" i="2"/>
  <c r="K85" i="2" s="1"/>
  <c r="I86" i="2"/>
  <c r="K86" i="2" s="1"/>
  <c r="I87" i="2"/>
  <c r="I88" i="2"/>
  <c r="K88" i="2" s="1"/>
  <c r="I89" i="2"/>
  <c r="K89" i="2" s="1"/>
  <c r="I90" i="2"/>
  <c r="K90" i="2" s="1"/>
  <c r="J92" i="2"/>
  <c r="J93" i="2"/>
  <c r="L95" i="2"/>
  <c r="M95" i="2"/>
  <c r="N95" i="2"/>
  <c r="P95" i="2"/>
  <c r="Q95" i="2"/>
  <c r="T95" i="2" s="1"/>
  <c r="R95" i="2"/>
  <c r="S95" i="2"/>
  <c r="O98" i="2"/>
  <c r="P98" i="2"/>
  <c r="T98" i="2"/>
  <c r="U98" i="2"/>
  <c r="L99" i="2"/>
  <c r="O99" i="2" s="1"/>
  <c r="M99" i="2"/>
  <c r="N99" i="2"/>
  <c r="N97" i="2" s="1"/>
  <c r="Q99" i="2"/>
  <c r="R99" i="2"/>
  <c r="U99" i="2" s="1"/>
  <c r="S99" i="2"/>
  <c r="Q100" i="2"/>
  <c r="T100" i="2" s="1"/>
  <c r="R100" i="2"/>
  <c r="U100" i="2" s="1"/>
  <c r="S100" i="2"/>
  <c r="O101" i="2"/>
  <c r="P101" i="2"/>
  <c r="T101" i="2"/>
  <c r="U101" i="2"/>
  <c r="L102" i="2"/>
  <c r="M102" i="2"/>
  <c r="M100" i="2" s="1"/>
  <c r="P100" i="2" s="1"/>
  <c r="N102" i="2"/>
  <c r="T102" i="2"/>
  <c r="U102" i="2"/>
  <c r="I108" i="2"/>
  <c r="I92" i="2" s="1"/>
  <c r="K92" i="2" s="1"/>
  <c r="I109" i="2"/>
  <c r="I93" i="2" s="1"/>
  <c r="K93" i="2" s="1"/>
  <c r="I114" i="2"/>
  <c r="K114" i="2" s="1"/>
  <c r="J116" i="2"/>
  <c r="L118" i="2"/>
  <c r="O118" i="2" s="1"/>
  <c r="M118" i="2"/>
  <c r="P118" i="2" s="1"/>
  <c r="N118" i="2"/>
  <c r="Q118" i="2"/>
  <c r="R118" i="2"/>
  <c r="U118" i="2" s="1"/>
  <c r="S118" i="2"/>
  <c r="T118" i="2"/>
  <c r="O121" i="2"/>
  <c r="P121" i="2"/>
  <c r="T121" i="2"/>
  <c r="U121" i="2"/>
  <c r="L122" i="2"/>
  <c r="M122" i="2"/>
  <c r="N122" i="2"/>
  <c r="N120" i="2" s="1"/>
  <c r="Q122" i="2"/>
  <c r="Q120" i="2" s="1"/>
  <c r="R122" i="2"/>
  <c r="S122" i="2"/>
  <c r="O124" i="2"/>
  <c r="P124" i="2"/>
  <c r="T124" i="2"/>
  <c r="U124" i="2"/>
  <c r="L125" i="2"/>
  <c r="M125" i="2"/>
  <c r="N125" i="2"/>
  <c r="N123" i="2" s="1"/>
  <c r="Q125" i="2"/>
  <c r="R125" i="2"/>
  <c r="S125" i="2"/>
  <c r="S123" i="2" s="1"/>
  <c r="I127" i="2"/>
  <c r="I128" i="2"/>
  <c r="K128" i="2" s="1"/>
  <c r="I129" i="2"/>
  <c r="K129" i="2" s="1"/>
  <c r="I130" i="2"/>
  <c r="K130" i="2" s="1"/>
  <c r="J136" i="2"/>
  <c r="J137" i="2"/>
  <c r="J138" i="2"/>
  <c r="L140" i="2"/>
  <c r="O140" i="2" s="1"/>
  <c r="M140" i="2"/>
  <c r="P140" i="2" s="1"/>
  <c r="N140" i="2"/>
  <c r="Q140" i="2"/>
  <c r="T140" i="2" s="1"/>
  <c r="R140" i="2"/>
  <c r="U140" i="2" s="1"/>
  <c r="S140" i="2"/>
  <c r="O143" i="2"/>
  <c r="P143" i="2"/>
  <c r="T143" i="2"/>
  <c r="U143" i="2"/>
  <c r="L144" i="2"/>
  <c r="M144" i="2"/>
  <c r="N144" i="2"/>
  <c r="Q144" i="2"/>
  <c r="Q142" i="2" s="1"/>
  <c r="T142" i="2" s="1"/>
  <c r="R144" i="2"/>
  <c r="R142" i="2" s="1"/>
  <c r="U142" i="2" s="1"/>
  <c r="S144" i="2"/>
  <c r="O146" i="2"/>
  <c r="P146" i="2"/>
  <c r="T146" i="2"/>
  <c r="U146" i="2"/>
  <c r="L147" i="2"/>
  <c r="L145" i="2" s="1"/>
  <c r="O145" i="2" s="1"/>
  <c r="M147" i="2"/>
  <c r="N147" i="2"/>
  <c r="N145" i="2" s="1"/>
  <c r="Q147" i="2"/>
  <c r="T147" i="2" s="1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I136" i="2" s="1"/>
  <c r="K136" i="2" s="1"/>
  <c r="J156" i="2"/>
  <c r="L158" i="2"/>
  <c r="O158" i="2" s="1"/>
  <c r="M158" i="2"/>
  <c r="N158" i="2"/>
  <c r="P158" i="2"/>
  <c r="Q158" i="2"/>
  <c r="T158" i="2" s="1"/>
  <c r="R158" i="2"/>
  <c r="U158" i="2" s="1"/>
  <c r="S158" i="2"/>
  <c r="O161" i="2"/>
  <c r="P161" i="2"/>
  <c r="T161" i="2"/>
  <c r="U161" i="2"/>
  <c r="L162" i="2"/>
  <c r="L160" i="2" s="1"/>
  <c r="O160" i="2" s="1"/>
  <c r="M162" i="2"/>
  <c r="N162" i="2"/>
  <c r="Q162" i="2"/>
  <c r="R162" i="2"/>
  <c r="S162" i="2"/>
  <c r="S159" i="2" s="1"/>
  <c r="S157" i="2" s="1"/>
  <c r="Q163" i="2"/>
  <c r="R163" i="2"/>
  <c r="U163" i="2" s="1"/>
  <c r="S163" i="2"/>
  <c r="T163" i="2"/>
  <c r="O164" i="2"/>
  <c r="P164" i="2"/>
  <c r="T164" i="2"/>
  <c r="U164" i="2"/>
  <c r="L165" i="2"/>
  <c r="O165" i="2" s="1"/>
  <c r="M165" i="2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O174" i="2" s="1"/>
  <c r="M174" i="2"/>
  <c r="N174" i="2"/>
  <c r="Q174" i="2"/>
  <c r="R174" i="2"/>
  <c r="S174" i="2"/>
  <c r="T174" i="2"/>
  <c r="O177" i="2"/>
  <c r="P177" i="2"/>
  <c r="T177" i="2"/>
  <c r="U177" i="2"/>
  <c r="L178" i="2"/>
  <c r="M178" i="2"/>
  <c r="N178" i="2"/>
  <c r="Q178" i="2"/>
  <c r="R178" i="2"/>
  <c r="R175" i="2" s="1"/>
  <c r="U175" i="2" s="1"/>
  <c r="S178" i="2"/>
  <c r="S175" i="2" s="1"/>
  <c r="Q179" i="2"/>
  <c r="T179" i="2" s="1"/>
  <c r="R179" i="2"/>
  <c r="U179" i="2" s="1"/>
  <c r="S179" i="2"/>
  <c r="O180" i="2"/>
  <c r="P180" i="2"/>
  <c r="T180" i="2"/>
  <c r="U180" i="2"/>
  <c r="L181" i="2"/>
  <c r="L179" i="2" s="1"/>
  <c r="O179" i="2" s="1"/>
  <c r="M181" i="2"/>
  <c r="P181" i="2" s="1"/>
  <c r="N181" i="2"/>
  <c r="N179" i="2" s="1"/>
  <c r="T181" i="2"/>
  <c r="U181" i="2"/>
  <c r="I183" i="2"/>
  <c r="K184" i="2"/>
  <c r="L187" i="2"/>
  <c r="M187" i="2"/>
  <c r="N187" i="2"/>
  <c r="Q187" i="2"/>
  <c r="T187" i="2" s="1"/>
  <c r="R187" i="2"/>
  <c r="S187" i="2"/>
  <c r="O190" i="2"/>
  <c r="P190" i="2"/>
  <c r="T190" i="2"/>
  <c r="U190" i="2"/>
  <c r="L191" i="2"/>
  <c r="M191" i="2"/>
  <c r="N191" i="2"/>
  <c r="N189" i="2" s="1"/>
  <c r="Q191" i="2"/>
  <c r="R191" i="2"/>
  <c r="R189" i="2" s="1"/>
  <c r="S191" i="2"/>
  <c r="O193" i="2"/>
  <c r="P193" i="2"/>
  <c r="T193" i="2"/>
  <c r="U193" i="2"/>
  <c r="L194" i="2"/>
  <c r="M194" i="2"/>
  <c r="P194" i="2" s="1"/>
  <c r="N194" i="2"/>
  <c r="N192" i="2" s="1"/>
  <c r="Q194" i="2"/>
  <c r="R194" i="2"/>
  <c r="S194" i="2"/>
  <c r="S192" i="2" s="1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J231" i="2" s="1"/>
  <c r="J185" i="2" s="1"/>
  <c r="N243" i="2"/>
  <c r="P243" i="2"/>
  <c r="L244" i="2"/>
  <c r="L245" i="2"/>
  <c r="L246" i="2"/>
  <c r="L247" i="2"/>
  <c r="I249" i="2"/>
  <c r="I242" i="2" s="1"/>
  <c r="K242" i="2" s="1"/>
  <c r="K251" i="2"/>
  <c r="K252" i="2"/>
  <c r="J253" i="2"/>
  <c r="N254" i="2"/>
  <c r="P254" i="2"/>
  <c r="L255" i="2"/>
  <c r="L256" i="2"/>
  <c r="L257" i="2"/>
  <c r="L258" i="2"/>
  <c r="I260" i="2"/>
  <c r="K260" i="2" s="1"/>
  <c r="K262" i="2"/>
  <c r="K263" i="2"/>
  <c r="J265" i="2"/>
  <c r="L267" i="2"/>
  <c r="O267" i="2" s="1"/>
  <c r="M267" i="2"/>
  <c r="N267" i="2"/>
  <c r="Q267" i="2"/>
  <c r="T267" i="2" s="1"/>
  <c r="R267" i="2"/>
  <c r="U267" i="2" s="1"/>
  <c r="S267" i="2"/>
  <c r="O270" i="2"/>
  <c r="P270" i="2"/>
  <c r="T270" i="2"/>
  <c r="U270" i="2"/>
  <c r="L271" i="2"/>
  <c r="M271" i="2"/>
  <c r="N271" i="2"/>
  <c r="N269" i="2" s="1"/>
  <c r="Q271" i="2"/>
  <c r="Q268" i="2" s="1"/>
  <c r="R271" i="2"/>
  <c r="R268" i="2" s="1"/>
  <c r="S271" i="2"/>
  <c r="S268" i="2" s="1"/>
  <c r="Q272" i="2"/>
  <c r="T272" i="2" s="1"/>
  <c r="R272" i="2"/>
  <c r="U272" i="2" s="1"/>
  <c r="S272" i="2"/>
  <c r="O273" i="2"/>
  <c r="P273" i="2"/>
  <c r="T273" i="2"/>
  <c r="U273" i="2"/>
  <c r="L274" i="2"/>
  <c r="L272" i="2" s="1"/>
  <c r="O272" i="2" s="1"/>
  <c r="M274" i="2"/>
  <c r="M272" i="2" s="1"/>
  <c r="P272" i="2" s="1"/>
  <c r="N274" i="2"/>
  <c r="N272" i="2" s="1"/>
  <c r="T274" i="2"/>
  <c r="U274" i="2"/>
  <c r="I276" i="2"/>
  <c r="I265" i="2" s="1"/>
  <c r="K265" i="2" s="1"/>
  <c r="J281" i="2"/>
  <c r="R282" i="2"/>
  <c r="U282" i="2" s="1"/>
  <c r="L283" i="2"/>
  <c r="M283" i="2"/>
  <c r="P283" i="2" s="1"/>
  <c r="N283" i="2"/>
  <c r="O283" i="2"/>
  <c r="Q283" i="2"/>
  <c r="T283" i="2" s="1"/>
  <c r="R283" i="2"/>
  <c r="U283" i="2" s="1"/>
  <c r="S283" i="2"/>
  <c r="Q284" i="2"/>
  <c r="R284" i="2"/>
  <c r="U284" i="2" s="1"/>
  <c r="S284" i="2"/>
  <c r="S282" i="2" s="1"/>
  <c r="Q285" i="2"/>
  <c r="T285" i="2" s="1"/>
  <c r="R285" i="2"/>
  <c r="U285" i="2" s="1"/>
  <c r="S285" i="2"/>
  <c r="O286" i="2"/>
  <c r="P286" i="2"/>
  <c r="T286" i="2"/>
  <c r="U286" i="2"/>
  <c r="L287" i="2"/>
  <c r="M287" i="2"/>
  <c r="M285" i="2" s="1"/>
  <c r="P285" i="2" s="1"/>
  <c r="N287" i="2"/>
  <c r="N285" i="2" s="1"/>
  <c r="T287" i="2"/>
  <c r="U287" i="2"/>
  <c r="Q288" i="2"/>
  <c r="R288" i="2"/>
  <c r="S288" i="2"/>
  <c r="T288" i="2"/>
  <c r="U288" i="2"/>
  <c r="O289" i="2"/>
  <c r="P289" i="2"/>
  <c r="T289" i="2"/>
  <c r="U289" i="2"/>
  <c r="L290" i="2"/>
  <c r="O290" i="2" s="1"/>
  <c r="M290" i="2"/>
  <c r="N290" i="2"/>
  <c r="N288" i="2" s="1"/>
  <c r="T290" i="2"/>
  <c r="U290" i="2"/>
  <c r="I292" i="2"/>
  <c r="I293" i="2"/>
  <c r="J293" i="2"/>
  <c r="J280" i="2" s="1"/>
  <c r="I295" i="2"/>
  <c r="K295" i="2" s="1"/>
  <c r="I296" i="2"/>
  <c r="K296" i="2" s="1"/>
  <c r="J302" i="2"/>
  <c r="L304" i="2"/>
  <c r="O304" i="2" s="1"/>
  <c r="M304" i="2"/>
  <c r="P304" i="2" s="1"/>
  <c r="N304" i="2"/>
  <c r="Q304" i="2"/>
  <c r="T304" i="2" s="1"/>
  <c r="R304" i="2"/>
  <c r="U304" i="2" s="1"/>
  <c r="S304" i="2"/>
  <c r="O307" i="2"/>
  <c r="P307" i="2"/>
  <c r="T307" i="2"/>
  <c r="U307" i="2"/>
  <c r="L308" i="2"/>
  <c r="O308" i="2" s="1"/>
  <c r="M308" i="2"/>
  <c r="P308" i="2" s="1"/>
  <c r="N308" i="2"/>
  <c r="Q308" i="2"/>
  <c r="Q306" i="2" s="1"/>
  <c r="T306" i="2" s="1"/>
  <c r="R308" i="2"/>
  <c r="R305" i="2" s="1"/>
  <c r="U305" i="2" s="1"/>
  <c r="S308" i="2"/>
  <c r="S305" i="2" s="1"/>
  <c r="S303" i="2" s="1"/>
  <c r="Q309" i="2"/>
  <c r="T309" i="2" s="1"/>
  <c r="R309" i="2"/>
  <c r="U309" i="2" s="1"/>
  <c r="S309" i="2"/>
  <c r="O310" i="2"/>
  <c r="P310" i="2"/>
  <c r="T310" i="2"/>
  <c r="U310" i="2"/>
  <c r="L311" i="2"/>
  <c r="O311" i="2" s="1"/>
  <c r="M311" i="2"/>
  <c r="M309" i="2" s="1"/>
  <c r="P309" i="2" s="1"/>
  <c r="N311" i="2"/>
  <c r="N309" i="2" s="1"/>
  <c r="T311" i="2"/>
  <c r="U311" i="2"/>
  <c r="I314" i="2"/>
  <c r="J319" i="2"/>
  <c r="L321" i="2"/>
  <c r="O321" i="2" s="1"/>
  <c r="M321" i="2"/>
  <c r="P321" i="2" s="1"/>
  <c r="N321" i="2"/>
  <c r="Q321" i="2"/>
  <c r="T321" i="2" s="1"/>
  <c r="R321" i="2"/>
  <c r="S321" i="2"/>
  <c r="S320" i="2" s="1"/>
  <c r="Q322" i="2"/>
  <c r="T322" i="2" s="1"/>
  <c r="R322" i="2"/>
  <c r="U322" i="2" s="1"/>
  <c r="S322" i="2"/>
  <c r="Q323" i="2"/>
  <c r="T323" i="2" s="1"/>
  <c r="R323" i="2"/>
  <c r="U323" i="2" s="1"/>
  <c r="S323" i="2"/>
  <c r="O324" i="2"/>
  <c r="P324" i="2"/>
  <c r="T324" i="2"/>
  <c r="U324" i="2"/>
  <c r="L325" i="2"/>
  <c r="L323" i="2" s="1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O328" i="2" s="1"/>
  <c r="M328" i="2"/>
  <c r="P328" i="2" s="1"/>
  <c r="N328" i="2"/>
  <c r="N326" i="2" s="1"/>
  <c r="T328" i="2"/>
  <c r="U328" i="2"/>
  <c r="I330" i="2"/>
  <c r="L334" i="2"/>
  <c r="O334" i="2" s="1"/>
  <c r="M334" i="2"/>
  <c r="N334" i="2"/>
  <c r="Q334" i="2"/>
  <c r="R334" i="2"/>
  <c r="U334" i="2" s="1"/>
  <c r="S334" i="2"/>
  <c r="T334" i="2"/>
  <c r="Q335" i="2"/>
  <c r="T335" i="2" s="1"/>
  <c r="R335" i="2"/>
  <c r="S335" i="2"/>
  <c r="Q336" i="2"/>
  <c r="T336" i="2" s="1"/>
  <c r="R336" i="2"/>
  <c r="U336" i="2" s="1"/>
  <c r="S336" i="2"/>
  <c r="O337" i="2"/>
  <c r="P337" i="2"/>
  <c r="T337" i="2"/>
  <c r="U337" i="2"/>
  <c r="L338" i="2"/>
  <c r="L336" i="2" s="1"/>
  <c r="M338" i="2"/>
  <c r="M336" i="2" s="1"/>
  <c r="N338" i="2"/>
  <c r="N336" i="2" s="1"/>
  <c r="T338" i="2"/>
  <c r="U338" i="2"/>
  <c r="Q339" i="2"/>
  <c r="T339" i="2" s="1"/>
  <c r="R339" i="2"/>
  <c r="S339" i="2"/>
  <c r="U339" i="2"/>
  <c r="O340" i="2"/>
  <c r="P340" i="2"/>
  <c r="T340" i="2"/>
  <c r="U340" i="2"/>
  <c r="L341" i="2"/>
  <c r="M341" i="2"/>
  <c r="P341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D354" i="2"/>
  <c r="L357" i="2"/>
  <c r="M357" i="2"/>
  <c r="N357" i="2"/>
  <c r="Q357" i="2"/>
  <c r="R357" i="2"/>
  <c r="S357" i="2"/>
  <c r="S356" i="2" s="1"/>
  <c r="Q358" i="2"/>
  <c r="T358" i="2" s="1"/>
  <c r="R358" i="2"/>
  <c r="U358" i="2" s="1"/>
  <c r="S358" i="2"/>
  <c r="Q359" i="2"/>
  <c r="T359" i="2" s="1"/>
  <c r="R359" i="2"/>
  <c r="U359" i="2" s="1"/>
  <c r="S359" i="2"/>
  <c r="O360" i="2"/>
  <c r="P360" i="2"/>
  <c r="T360" i="2"/>
  <c r="U360" i="2"/>
  <c r="L361" i="2"/>
  <c r="M361" i="2"/>
  <c r="N361" i="2"/>
  <c r="T361" i="2"/>
  <c r="U361" i="2"/>
  <c r="Q362" i="2"/>
  <c r="R362" i="2"/>
  <c r="U362" i="2" s="1"/>
  <c r="S362" i="2"/>
  <c r="T362" i="2"/>
  <c r="O363" i="2"/>
  <c r="P363" i="2"/>
  <c r="T363" i="2"/>
  <c r="U363" i="2"/>
  <c r="L364" i="2"/>
  <c r="M364" i="2"/>
  <c r="P364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65" i="2" s="1"/>
  <c r="J372" i="2"/>
  <c r="K372" i="2"/>
  <c r="D373" i="2"/>
  <c r="L376" i="2"/>
  <c r="O376" i="2" s="1"/>
  <c r="M376" i="2"/>
  <c r="N376" i="2"/>
  <c r="Q376" i="2"/>
  <c r="T376" i="2" s="1"/>
  <c r="R376" i="2"/>
  <c r="S376" i="2"/>
  <c r="U376" i="2"/>
  <c r="O379" i="2"/>
  <c r="P379" i="2"/>
  <c r="T379" i="2"/>
  <c r="U379" i="2"/>
  <c r="L380" i="2"/>
  <c r="L378" i="2" s="1"/>
  <c r="M380" i="2"/>
  <c r="M378" i="2" s="1"/>
  <c r="N380" i="2"/>
  <c r="N378" i="2" s="1"/>
  <c r="Q380" i="2"/>
  <c r="Q377" i="2" s="1"/>
  <c r="R380" i="2"/>
  <c r="S380" i="2"/>
  <c r="S377" i="2" s="1"/>
  <c r="Q381" i="2"/>
  <c r="T381" i="2" s="1"/>
  <c r="R381" i="2"/>
  <c r="U381" i="2" s="1"/>
  <c r="S381" i="2"/>
  <c r="O382" i="2"/>
  <c r="P382" i="2"/>
  <c r="T382" i="2"/>
  <c r="U382" i="2"/>
  <c r="L383" i="2"/>
  <c r="L381" i="2" s="1"/>
  <c r="O381" i="2" s="1"/>
  <c r="M383" i="2"/>
  <c r="P383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M392" i="2"/>
  <c r="P392" i="2" s="1"/>
  <c r="L393" i="2"/>
  <c r="M393" i="2"/>
  <c r="N393" i="2"/>
  <c r="O393" i="2"/>
  <c r="P393" i="2"/>
  <c r="Q393" i="2"/>
  <c r="R393" i="2"/>
  <c r="U393" i="2" s="1"/>
  <c r="S393" i="2"/>
  <c r="L394" i="2"/>
  <c r="O394" i="2" s="1"/>
  <c r="M394" i="2"/>
  <c r="P394" i="2" s="1"/>
  <c r="N394" i="2"/>
  <c r="N392" i="2" s="1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Q395" i="2" s="1"/>
  <c r="T395" i="2" s="1"/>
  <c r="R397" i="2"/>
  <c r="R394" i="2" s="1"/>
  <c r="U394" i="2" s="1"/>
  <c r="S397" i="2"/>
  <c r="S394" i="2" s="1"/>
  <c r="L398" i="2"/>
  <c r="O398" i="2" s="1"/>
  <c r="M398" i="2"/>
  <c r="N398" i="2"/>
  <c r="P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M414" i="2"/>
  <c r="N414" i="2"/>
  <c r="O414" i="2"/>
  <c r="P414" i="2"/>
  <c r="Q414" i="2"/>
  <c r="R414" i="2"/>
  <c r="S414" i="2"/>
  <c r="U414" i="2"/>
  <c r="O417" i="2"/>
  <c r="P417" i="2"/>
  <c r="T417" i="2"/>
  <c r="U417" i="2"/>
  <c r="L418" i="2"/>
  <c r="M418" i="2"/>
  <c r="M416" i="2" s="1"/>
  <c r="N418" i="2"/>
  <c r="Q418" i="2"/>
  <c r="Q416" i="2" s="1"/>
  <c r="R418" i="2"/>
  <c r="R415" i="2" s="1"/>
  <c r="S418" i="2"/>
  <c r="S416" i="2" s="1"/>
  <c r="Q419" i="2"/>
  <c r="R419" i="2"/>
  <c r="U419" i="2" s="1"/>
  <c r="S419" i="2"/>
  <c r="T419" i="2"/>
  <c r="O420" i="2"/>
  <c r="P420" i="2"/>
  <c r="T420" i="2"/>
  <c r="U420" i="2"/>
  <c r="L421" i="2"/>
  <c r="M421" i="2"/>
  <c r="P421" i="2" s="1"/>
  <c r="N421" i="2"/>
  <c r="N419" i="2" s="1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23" i="2" s="1"/>
  <c r="I441" i="2"/>
  <c r="K441" i="2" s="1"/>
  <c r="J446" i="2"/>
  <c r="J440" i="2" s="1"/>
  <c r="J423" i="2" s="1"/>
  <c r="J412" i="2" s="1"/>
  <c r="J447" i="2"/>
  <c r="J441" i="2" s="1"/>
  <c r="I457" i="2"/>
  <c r="I456" i="2" s="1"/>
  <c r="I458" i="2"/>
  <c r="K458" i="2" s="1"/>
  <c r="J459" i="2"/>
  <c r="J460" i="2"/>
  <c r="J467" i="2"/>
  <c r="J468" i="2"/>
  <c r="J458" i="2" s="1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J485" i="2"/>
  <c r="K485" i="2"/>
  <c r="L494" i="2"/>
  <c r="M494" i="2"/>
  <c r="P494" i="2" s="1"/>
  <c r="N494" i="2"/>
  <c r="O494" i="2"/>
  <c r="Q494" i="2"/>
  <c r="T494" i="2" s="1"/>
  <c r="R494" i="2"/>
  <c r="S494" i="2"/>
  <c r="U494" i="2"/>
  <c r="O497" i="2"/>
  <c r="P497" i="2"/>
  <c r="T497" i="2"/>
  <c r="U497" i="2"/>
  <c r="L498" i="2"/>
  <c r="M498" i="2"/>
  <c r="N498" i="2"/>
  <c r="Q498" i="2"/>
  <c r="R498" i="2"/>
  <c r="R495" i="2" s="1"/>
  <c r="R493" i="2" s="1"/>
  <c r="S498" i="2"/>
  <c r="S495" i="2" s="1"/>
  <c r="Q499" i="2"/>
  <c r="R499" i="2"/>
  <c r="U499" i="2" s="1"/>
  <c r="S499" i="2"/>
  <c r="T499" i="2"/>
  <c r="O500" i="2"/>
  <c r="P500" i="2"/>
  <c r="T500" i="2"/>
  <c r="U500" i="2"/>
  <c r="L501" i="2"/>
  <c r="L499" i="2" s="1"/>
  <c r="O499" i="2" s="1"/>
  <c r="M501" i="2"/>
  <c r="P501" i="2" s="1"/>
  <c r="N501" i="2"/>
  <c r="N499" i="2" s="1"/>
  <c r="T501" i="2"/>
  <c r="U501" i="2"/>
  <c r="I503" i="2"/>
  <c r="I492" i="2" s="1"/>
  <c r="J503" i="2"/>
  <c r="J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L514" i="2"/>
  <c r="O514" i="2" s="1"/>
  <c r="M514" i="2"/>
  <c r="N514" i="2"/>
  <c r="Q514" i="2"/>
  <c r="T514" i="2" s="1"/>
  <c r="R514" i="2"/>
  <c r="U514" i="2" s="1"/>
  <c r="S514" i="2"/>
  <c r="S513" i="2" s="1"/>
  <c r="Q515" i="2"/>
  <c r="R515" i="2"/>
  <c r="U515" i="2" s="1"/>
  <c r="S515" i="2"/>
  <c r="Q516" i="2"/>
  <c r="T516" i="2" s="1"/>
  <c r="R516" i="2"/>
  <c r="S516" i="2"/>
  <c r="U516" i="2"/>
  <c r="O517" i="2"/>
  <c r="P517" i="2"/>
  <c r="T517" i="2"/>
  <c r="U517" i="2"/>
  <c r="L518" i="2"/>
  <c r="O518" i="2" s="1"/>
  <c r="M518" i="2"/>
  <c r="M516" i="2" s="1"/>
  <c r="P516" i="2" s="1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M521" i="2"/>
  <c r="M519" i="2" s="1"/>
  <c r="N521" i="2"/>
  <c r="N519" i="2" s="1"/>
  <c r="T521" i="2"/>
  <c r="U521" i="2"/>
  <c r="K523" i="2"/>
  <c r="K524" i="2"/>
  <c r="I533" i="2"/>
  <c r="J533" i="2"/>
  <c r="K533" i="2"/>
  <c r="L535" i="2"/>
  <c r="M535" i="2"/>
  <c r="P535" i="2" s="1"/>
  <c r="N535" i="2"/>
  <c r="Q535" i="2"/>
  <c r="T535" i="2" s="1"/>
  <c r="R535" i="2"/>
  <c r="S535" i="2"/>
  <c r="S534" i="2" s="1"/>
  <c r="Q536" i="2"/>
  <c r="R536" i="2"/>
  <c r="S536" i="2"/>
  <c r="U536" i="2"/>
  <c r="Q537" i="2"/>
  <c r="T537" i="2" s="1"/>
  <c r="R537" i="2"/>
  <c r="U537" i="2" s="1"/>
  <c r="S537" i="2"/>
  <c r="O538" i="2"/>
  <c r="P538" i="2"/>
  <c r="T538" i="2"/>
  <c r="U538" i="2"/>
  <c r="L539" i="2"/>
  <c r="M539" i="2"/>
  <c r="P539" i="2" s="1"/>
  <c r="N539" i="2"/>
  <c r="T539" i="2"/>
  <c r="U539" i="2"/>
  <c r="Q540" i="2"/>
  <c r="T540" i="2" s="1"/>
  <c r="R540" i="2"/>
  <c r="S540" i="2"/>
  <c r="U540" i="2"/>
  <c r="O541" i="2"/>
  <c r="P541" i="2"/>
  <c r="T541" i="2"/>
  <c r="U541" i="2"/>
  <c r="L542" i="2"/>
  <c r="M542" i="2"/>
  <c r="P542" i="2" s="1"/>
  <c r="N542" i="2"/>
  <c r="N540" i="2" s="1"/>
  <c r="T542" i="2"/>
  <c r="U542" i="2"/>
  <c r="I554" i="2"/>
  <c r="K554" i="2" s="1"/>
  <c r="J554" i="2"/>
  <c r="S555" i="2"/>
  <c r="L556" i="2"/>
  <c r="O556" i="2" s="1"/>
  <c r="M556" i="2"/>
  <c r="P556" i="2" s="1"/>
  <c r="N556" i="2"/>
  <c r="Q556" i="2"/>
  <c r="R556" i="2"/>
  <c r="R555" i="2" s="1"/>
  <c r="U555" i="2" s="1"/>
  <c r="S556" i="2"/>
  <c r="Q557" i="2"/>
  <c r="T557" i="2" s="1"/>
  <c r="R557" i="2"/>
  <c r="U557" i="2" s="1"/>
  <c r="S557" i="2"/>
  <c r="Q558" i="2"/>
  <c r="T558" i="2" s="1"/>
  <c r="R558" i="2"/>
  <c r="S558" i="2"/>
  <c r="U558" i="2"/>
  <c r="O559" i="2"/>
  <c r="P559" i="2"/>
  <c r="T559" i="2"/>
  <c r="U559" i="2"/>
  <c r="L560" i="2"/>
  <c r="L558" i="2" s="1"/>
  <c r="O558" i="2" s="1"/>
  <c r="M560" i="2"/>
  <c r="N560" i="2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M563" i="2"/>
  <c r="M561" i="2" s="1"/>
  <c r="P561" i="2" s="1"/>
  <c r="N563" i="2"/>
  <c r="N561" i="2" s="1"/>
  <c r="T563" i="2"/>
  <c r="U563" i="2"/>
  <c r="I575" i="2"/>
  <c r="J575" i="2"/>
  <c r="L577" i="2"/>
  <c r="M577" i="2"/>
  <c r="P577" i="2" s="1"/>
  <c r="N577" i="2"/>
  <c r="Q577" i="2"/>
  <c r="T577" i="2" s="1"/>
  <c r="R577" i="2"/>
  <c r="S577" i="2"/>
  <c r="Q578" i="2"/>
  <c r="R578" i="2"/>
  <c r="U578" i="2" s="1"/>
  <c r="S578" i="2"/>
  <c r="T578" i="2"/>
  <c r="Q579" i="2"/>
  <c r="T579" i="2" s="1"/>
  <c r="R579" i="2"/>
  <c r="U579" i="2" s="1"/>
  <c r="S579" i="2"/>
  <c r="O580" i="2"/>
  <c r="P580" i="2"/>
  <c r="T580" i="2"/>
  <c r="U580" i="2"/>
  <c r="L581" i="2"/>
  <c r="M581" i="2"/>
  <c r="M579" i="2" s="1"/>
  <c r="N581" i="2"/>
  <c r="T581" i="2"/>
  <c r="U581" i="2"/>
  <c r="Q582" i="2"/>
  <c r="R582" i="2"/>
  <c r="U582" i="2" s="1"/>
  <c r="S582" i="2"/>
  <c r="T582" i="2"/>
  <c r="O583" i="2"/>
  <c r="P583" i="2"/>
  <c r="T583" i="2"/>
  <c r="U583" i="2"/>
  <c r="L584" i="2"/>
  <c r="O584" i="2" s="1"/>
  <c r="M584" i="2"/>
  <c r="P584" i="2" s="1"/>
  <c r="N584" i="2"/>
  <c r="N582" i="2" s="1"/>
  <c r="T584" i="2"/>
  <c r="U584" i="2"/>
  <c r="K586" i="2"/>
  <c r="K587" i="2"/>
  <c r="L600" i="2"/>
  <c r="M600" i="2"/>
  <c r="P600" i="2" s="1"/>
  <c r="N600" i="2"/>
  <c r="Q600" i="2"/>
  <c r="T600" i="2" s="1"/>
  <c r="R600" i="2"/>
  <c r="S600" i="2"/>
  <c r="O603" i="2"/>
  <c r="P603" i="2"/>
  <c r="T603" i="2"/>
  <c r="U603" i="2"/>
  <c r="L604" i="2"/>
  <c r="M604" i="2"/>
  <c r="N604" i="2"/>
  <c r="N602" i="2" s="1"/>
  <c r="Q604" i="2"/>
  <c r="T604" i="2" s="1"/>
  <c r="R604" i="2"/>
  <c r="S604" i="2"/>
  <c r="O606" i="2"/>
  <c r="P606" i="2"/>
  <c r="T606" i="2"/>
  <c r="U606" i="2"/>
  <c r="L607" i="2"/>
  <c r="M607" i="2"/>
  <c r="P607" i="2" s="1"/>
  <c r="N607" i="2"/>
  <c r="N605" i="2" s="1"/>
  <c r="Q607" i="2"/>
  <c r="R607" i="2"/>
  <c r="S607" i="2"/>
  <c r="S605" i="2" s="1"/>
  <c r="N616" i="2"/>
  <c r="L617" i="2"/>
  <c r="O617" i="2" s="1"/>
  <c r="M617" i="2"/>
  <c r="N617" i="2"/>
  <c r="Q617" i="2"/>
  <c r="R617" i="2"/>
  <c r="S617" i="2"/>
  <c r="T617" i="2"/>
  <c r="U617" i="2"/>
  <c r="L618" i="2"/>
  <c r="M618" i="2"/>
  <c r="N618" i="2"/>
  <c r="O618" i="2"/>
  <c r="P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R621" i="2"/>
  <c r="S621" i="2"/>
  <c r="S618" i="2" s="1"/>
  <c r="L622" i="2"/>
  <c r="O622" i="2" s="1"/>
  <c r="M622" i="2"/>
  <c r="P622" i="2" s="1"/>
  <c r="N622" i="2"/>
  <c r="Q622" i="2"/>
  <c r="R622" i="2"/>
  <c r="U622" i="2" s="1"/>
  <c r="S622" i="2"/>
  <c r="T622" i="2"/>
  <c r="O623" i="2"/>
  <c r="P623" i="2"/>
  <c r="T623" i="2"/>
  <c r="U623" i="2"/>
  <c r="O624" i="2"/>
  <c r="P624" i="2"/>
  <c r="T624" i="2"/>
  <c r="U624" i="2"/>
  <c r="I626" i="2"/>
  <c r="K632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M642" i="2"/>
  <c r="P642" i="2" s="1"/>
  <c r="L643" i="2"/>
  <c r="M643" i="2"/>
  <c r="P643" i="2" s="1"/>
  <c r="N643" i="2"/>
  <c r="Q643" i="2"/>
  <c r="T643" i="2" s="1"/>
  <c r="R643" i="2"/>
  <c r="S643" i="2"/>
  <c r="L644" i="2"/>
  <c r="M644" i="2"/>
  <c r="N644" i="2"/>
  <c r="O644" i="2"/>
  <c r="P644" i="2"/>
  <c r="L645" i="2"/>
  <c r="O645" i="2" s="1"/>
  <c r="M645" i="2"/>
  <c r="N645" i="2"/>
  <c r="P645" i="2"/>
  <c r="O646" i="2"/>
  <c r="P646" i="2"/>
  <c r="T646" i="2"/>
  <c r="U646" i="2"/>
  <c r="O647" i="2"/>
  <c r="P647" i="2"/>
  <c r="Q647" i="2"/>
  <c r="R647" i="2"/>
  <c r="S647" i="2"/>
  <c r="S645" i="2" s="1"/>
  <c r="L648" i="2"/>
  <c r="M648" i="2"/>
  <c r="P648" i="2" s="1"/>
  <c r="N648" i="2"/>
  <c r="O648" i="2"/>
  <c r="Q648" i="2"/>
  <c r="R648" i="2"/>
  <c r="S648" i="2"/>
  <c r="T648" i="2"/>
  <c r="U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K674" i="2" s="1"/>
  <c r="I675" i="2"/>
  <c r="K675" i="2" s="1"/>
  <c r="I676" i="2"/>
  <c r="K676" i="2" s="1"/>
  <c r="J676" i="2"/>
  <c r="J677" i="2"/>
  <c r="I678" i="2"/>
  <c r="K678" i="2" s="1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N691" i="2"/>
  <c r="N690" i="2" s="1"/>
  <c r="Q691" i="2"/>
  <c r="T691" i="2" s="1"/>
  <c r="R691" i="2"/>
  <c r="S691" i="2"/>
  <c r="L692" i="2"/>
  <c r="O692" i="2" s="1"/>
  <c r="M692" i="2"/>
  <c r="P692" i="2" s="1"/>
  <c r="N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R695" i="2"/>
  <c r="R692" i="2" s="1"/>
  <c r="S695" i="2"/>
  <c r="S693" i="2" s="1"/>
  <c r="L696" i="2"/>
  <c r="O696" i="2" s="1"/>
  <c r="M696" i="2"/>
  <c r="P696" i="2" s="1"/>
  <c r="N696" i="2"/>
  <c r="Q696" i="2"/>
  <c r="R696" i="2"/>
  <c r="U696" i="2" s="1"/>
  <c r="S696" i="2"/>
  <c r="T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M715" i="2"/>
  <c r="N715" i="2"/>
  <c r="P715" i="2"/>
  <c r="Q715" i="2"/>
  <c r="T715" i="2" s="1"/>
  <c r="R715" i="2"/>
  <c r="S715" i="2"/>
  <c r="L716" i="2"/>
  <c r="O716" i="2" s="1"/>
  <c r="M716" i="2"/>
  <c r="P716" i="2" s="1"/>
  <c r="N716" i="2"/>
  <c r="N714" i="2" s="1"/>
  <c r="Q716" i="2"/>
  <c r="R716" i="2"/>
  <c r="U716" i="2" s="1"/>
  <c r="S716" i="2"/>
  <c r="T716" i="2"/>
  <c r="L717" i="2"/>
  <c r="M717" i="2"/>
  <c r="N717" i="2"/>
  <c r="O717" i="2"/>
  <c r="P717" i="2"/>
  <c r="Q717" i="2"/>
  <c r="T717" i="2" s="1"/>
  <c r="R717" i="2"/>
  <c r="S717" i="2"/>
  <c r="U717" i="2"/>
  <c r="O718" i="2"/>
  <c r="P718" i="2"/>
  <c r="T718" i="2"/>
  <c r="U718" i="2"/>
  <c r="O719" i="2"/>
  <c r="P719" i="2"/>
  <c r="T719" i="2"/>
  <c r="U719" i="2"/>
  <c r="L720" i="2"/>
  <c r="M720" i="2"/>
  <c r="N720" i="2"/>
  <c r="O720" i="2"/>
  <c r="P720" i="2"/>
  <c r="Q720" i="2"/>
  <c r="T720" i="2" s="1"/>
  <c r="R720" i="2"/>
  <c r="S720" i="2"/>
  <c r="U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J727" i="2"/>
  <c r="L729" i="2"/>
  <c r="M729" i="2"/>
  <c r="M728" i="2" s="1"/>
  <c r="P728" i="2" s="1"/>
  <c r="N729" i="2"/>
  <c r="P729" i="2"/>
  <c r="Q729" i="2"/>
  <c r="T729" i="2" s="1"/>
  <c r="R729" i="2"/>
  <c r="S729" i="2"/>
  <c r="L730" i="2"/>
  <c r="O730" i="2" s="1"/>
  <c r="M730" i="2"/>
  <c r="P730" i="2" s="1"/>
  <c r="N730" i="2"/>
  <c r="N728" i="2" s="1"/>
  <c r="L731" i="2"/>
  <c r="M731" i="2"/>
  <c r="N731" i="2"/>
  <c r="O731" i="2"/>
  <c r="P731" i="2"/>
  <c r="O732" i="2"/>
  <c r="P732" i="2"/>
  <c r="T732" i="2"/>
  <c r="U732" i="2"/>
  <c r="O733" i="2"/>
  <c r="P733" i="2"/>
  <c r="Q733" i="2"/>
  <c r="Q731" i="2" s="1"/>
  <c r="R733" i="2"/>
  <c r="S733" i="2"/>
  <c r="S731" i="2" s="1"/>
  <c r="L734" i="2"/>
  <c r="O734" i="2" s="1"/>
  <c r="M734" i="2"/>
  <c r="P734" i="2" s="1"/>
  <c r="N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0" i="2"/>
  <c r="O760" i="2"/>
  <c r="L761" i="2"/>
  <c r="O761" i="2" s="1"/>
  <c r="M761" i="2"/>
  <c r="N761" i="2"/>
  <c r="Q761" i="2"/>
  <c r="R761" i="2"/>
  <c r="U761" i="2" s="1"/>
  <c r="S761" i="2"/>
  <c r="L762" i="2"/>
  <c r="O762" i="2" s="1"/>
  <c r="M762" i="2"/>
  <c r="P762" i="2" s="1"/>
  <c r="N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2" i="2" s="1"/>
  <c r="R765" i="2"/>
  <c r="R763" i="2" s="1"/>
  <c r="S765" i="2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K774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K782" i="2" s="1"/>
  <c r="J782" i="2"/>
  <c r="I783" i="2"/>
  <c r="K783" i="2" s="1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J758" i="1" s="1"/>
  <c r="I772" i="1"/>
  <c r="I758" i="1" s="1"/>
  <c r="J770" i="1"/>
  <c r="I770" i="1"/>
  <c r="S768" i="1"/>
  <c r="R768" i="1"/>
  <c r="U768" i="1" s="1"/>
  <c r="Q768" i="1"/>
  <c r="T768" i="1" s="1"/>
  <c r="N768" i="1"/>
  <c r="M768" i="1"/>
  <c r="L768" i="1"/>
  <c r="S767" i="1"/>
  <c r="R767" i="1"/>
  <c r="U767" i="1" s="1"/>
  <c r="Q767" i="1"/>
  <c r="T767" i="1" s="1"/>
  <c r="N767" i="1"/>
  <c r="M767" i="1"/>
  <c r="P767" i="1" s="1"/>
  <c r="L767" i="1"/>
  <c r="O767" i="1" s="1"/>
  <c r="S765" i="1"/>
  <c r="R765" i="1"/>
  <c r="Q765" i="1"/>
  <c r="N765" i="1"/>
  <c r="M765" i="1"/>
  <c r="L765" i="1"/>
  <c r="O765" i="1" s="1"/>
  <c r="S764" i="1"/>
  <c r="R764" i="1"/>
  <c r="U764" i="1" s="1"/>
  <c r="Q764" i="1"/>
  <c r="N764" i="1"/>
  <c r="M764" i="1"/>
  <c r="P764" i="1" s="1"/>
  <c r="L764" i="1"/>
  <c r="O764" i="1" s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O736" i="1" s="1"/>
  <c r="S735" i="1"/>
  <c r="R735" i="1"/>
  <c r="U735" i="1" s="1"/>
  <c r="Q735" i="1"/>
  <c r="N735" i="1"/>
  <c r="M735" i="1"/>
  <c r="L735" i="1"/>
  <c r="S733" i="1"/>
  <c r="S730" i="1" s="1"/>
  <c r="R733" i="1"/>
  <c r="R730" i="1" s="1"/>
  <c r="Q733" i="1"/>
  <c r="N733" i="1"/>
  <c r="M733" i="1"/>
  <c r="P733" i="1" s="1"/>
  <c r="L733" i="1"/>
  <c r="S732" i="1"/>
  <c r="S729" i="1" s="1"/>
  <c r="R732" i="1"/>
  <c r="U732" i="1" s="1"/>
  <c r="Q732" i="1"/>
  <c r="T732" i="1" s="1"/>
  <c r="N732" i="1"/>
  <c r="M732" i="1"/>
  <c r="L732" i="1"/>
  <c r="O732" i="1" s="1"/>
  <c r="I727" i="1"/>
  <c r="I726" i="1"/>
  <c r="S722" i="1"/>
  <c r="R722" i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N721" i="1"/>
  <c r="M721" i="1"/>
  <c r="L721" i="1"/>
  <c r="S719" i="1"/>
  <c r="R719" i="1"/>
  <c r="U719" i="1" s="1"/>
  <c r="Q719" i="1"/>
  <c r="T719" i="1" s="1"/>
  <c r="N719" i="1"/>
  <c r="M719" i="1"/>
  <c r="P719" i="1" s="1"/>
  <c r="L719" i="1"/>
  <c r="L716" i="1" s="1"/>
  <c r="O716" i="1" s="1"/>
  <c r="S718" i="1"/>
  <c r="R718" i="1"/>
  <c r="R715" i="1" s="1"/>
  <c r="Q718" i="1"/>
  <c r="N718" i="1"/>
  <c r="M718" i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U698" i="1" s="1"/>
  <c r="Q698" i="1"/>
  <c r="N698" i="1"/>
  <c r="M698" i="1"/>
  <c r="P698" i="1" s="1"/>
  <c r="L698" i="1"/>
  <c r="S697" i="1"/>
  <c r="R697" i="1"/>
  <c r="U697" i="1" s="1"/>
  <c r="Q697" i="1"/>
  <c r="T697" i="1" s="1"/>
  <c r="N697" i="1"/>
  <c r="M697" i="1"/>
  <c r="L697" i="1"/>
  <c r="S695" i="1"/>
  <c r="R695" i="1"/>
  <c r="R692" i="1" s="1"/>
  <c r="Q695" i="1"/>
  <c r="N695" i="1"/>
  <c r="N692" i="1" s="1"/>
  <c r="M695" i="1"/>
  <c r="L695" i="1"/>
  <c r="O695" i="1" s="1"/>
  <c r="S694" i="1"/>
  <c r="R694" i="1"/>
  <c r="Q694" i="1"/>
  <c r="T694" i="1" s="1"/>
  <c r="N694" i="1"/>
  <c r="M694" i="1"/>
  <c r="L694" i="1"/>
  <c r="O694" i="1" s="1"/>
  <c r="I689" i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S648" i="1" s="1"/>
  <c r="R649" i="1"/>
  <c r="Q649" i="1"/>
  <c r="T649" i="1" s="1"/>
  <c r="N649" i="1"/>
  <c r="M649" i="1"/>
  <c r="P649" i="1" s="1"/>
  <c r="L649" i="1"/>
  <c r="S647" i="1"/>
  <c r="S644" i="1" s="1"/>
  <c r="R647" i="1"/>
  <c r="Q647" i="1"/>
  <c r="N647" i="1"/>
  <c r="M647" i="1"/>
  <c r="P647" i="1" s="1"/>
  <c r="L647" i="1"/>
  <c r="O647" i="1" s="1"/>
  <c r="S646" i="1"/>
  <c r="R646" i="1"/>
  <c r="Q646" i="1"/>
  <c r="N646" i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Q624" i="1"/>
  <c r="N624" i="1"/>
  <c r="M624" i="1"/>
  <c r="P624" i="1" s="1"/>
  <c r="L624" i="1"/>
  <c r="O624" i="1" s="1"/>
  <c r="S623" i="1"/>
  <c r="R623" i="1"/>
  <c r="U623" i="1" s="1"/>
  <c r="Q623" i="1"/>
  <c r="T623" i="1" s="1"/>
  <c r="N623" i="1"/>
  <c r="M623" i="1"/>
  <c r="P623" i="1" s="1"/>
  <c r="L623" i="1"/>
  <c r="O623" i="1" s="1"/>
  <c r="S621" i="1"/>
  <c r="S618" i="1" s="1"/>
  <c r="R621" i="1"/>
  <c r="Q621" i="1"/>
  <c r="N621" i="1"/>
  <c r="N618" i="1" s="1"/>
  <c r="M621" i="1"/>
  <c r="L621" i="1"/>
  <c r="O621" i="1" s="1"/>
  <c r="S620" i="1"/>
  <c r="R620" i="1"/>
  <c r="R619" i="1" s="1"/>
  <c r="Q620" i="1"/>
  <c r="N620" i="1"/>
  <c r="M620" i="1"/>
  <c r="L620" i="1"/>
  <c r="O620" i="1" s="1"/>
  <c r="S607" i="1"/>
  <c r="R607" i="1"/>
  <c r="U607" i="1" s="1"/>
  <c r="Q607" i="1"/>
  <c r="T607" i="1" s="1"/>
  <c r="N607" i="1"/>
  <c r="M607" i="1"/>
  <c r="L607" i="1"/>
  <c r="O607" i="1" s="1"/>
  <c r="S606" i="1"/>
  <c r="R606" i="1"/>
  <c r="Q606" i="1"/>
  <c r="N606" i="1"/>
  <c r="M606" i="1"/>
  <c r="P606" i="1" s="1"/>
  <c r="L606" i="1"/>
  <c r="S604" i="1"/>
  <c r="S601" i="1" s="1"/>
  <c r="R604" i="1"/>
  <c r="Q604" i="1"/>
  <c r="N604" i="1"/>
  <c r="M604" i="1"/>
  <c r="L604" i="1"/>
  <c r="L601" i="1" s="1"/>
  <c r="S603" i="1"/>
  <c r="R603" i="1"/>
  <c r="Q603" i="1"/>
  <c r="T603" i="1" s="1"/>
  <c r="N603" i="1"/>
  <c r="M603" i="1"/>
  <c r="L603" i="1"/>
  <c r="O603" i="1" s="1"/>
  <c r="J587" i="1"/>
  <c r="J575" i="1" s="1"/>
  <c r="I587" i="1"/>
  <c r="I575" i="1" s="1"/>
  <c r="J586" i="1"/>
  <c r="I586" i="1"/>
  <c r="S584" i="1"/>
  <c r="R584" i="1"/>
  <c r="Q584" i="1"/>
  <c r="T584" i="1" s="1"/>
  <c r="N584" i="1"/>
  <c r="M584" i="1"/>
  <c r="P584" i="1" s="1"/>
  <c r="L584" i="1"/>
  <c r="S583" i="1"/>
  <c r="R583" i="1"/>
  <c r="U583" i="1" s="1"/>
  <c r="Q583" i="1"/>
  <c r="N583" i="1"/>
  <c r="N582" i="1" s="1"/>
  <c r="M583" i="1"/>
  <c r="L583" i="1"/>
  <c r="O583" i="1" s="1"/>
  <c r="S581" i="1"/>
  <c r="R581" i="1"/>
  <c r="Q581" i="1"/>
  <c r="N581" i="1"/>
  <c r="N578" i="1" s="1"/>
  <c r="M581" i="1"/>
  <c r="L581" i="1"/>
  <c r="S580" i="1"/>
  <c r="S579" i="1" s="1"/>
  <c r="R580" i="1"/>
  <c r="U580" i="1" s="1"/>
  <c r="Q580" i="1"/>
  <c r="N580" i="1"/>
  <c r="M580" i="1"/>
  <c r="L580" i="1"/>
  <c r="O580" i="1" s="1"/>
  <c r="S563" i="1"/>
  <c r="R563" i="1"/>
  <c r="U563" i="1" s="1"/>
  <c r="Q563" i="1"/>
  <c r="T563" i="1" s="1"/>
  <c r="N563" i="1"/>
  <c r="M563" i="1"/>
  <c r="P563" i="1" s="1"/>
  <c r="L563" i="1"/>
  <c r="O563" i="1" s="1"/>
  <c r="S562" i="1"/>
  <c r="R562" i="1"/>
  <c r="U562" i="1" s="1"/>
  <c r="Q562" i="1"/>
  <c r="T562" i="1" s="1"/>
  <c r="N562" i="1"/>
  <c r="M562" i="1"/>
  <c r="L562" i="1"/>
  <c r="S560" i="1"/>
  <c r="R560" i="1"/>
  <c r="Q560" i="1"/>
  <c r="N560" i="1"/>
  <c r="N557" i="1" s="1"/>
  <c r="M560" i="1"/>
  <c r="P560" i="1" s="1"/>
  <c r="L560" i="1"/>
  <c r="O560" i="1" s="1"/>
  <c r="S559" i="1"/>
  <c r="R559" i="1"/>
  <c r="Q559" i="1"/>
  <c r="N559" i="1"/>
  <c r="M559" i="1"/>
  <c r="P559" i="1" s="1"/>
  <c r="L559" i="1"/>
  <c r="O559" i="1" s="1"/>
  <c r="K554" i="1"/>
  <c r="J554" i="1"/>
  <c r="I554" i="1"/>
  <c r="K544" i="1"/>
  <c r="S542" i="1"/>
  <c r="R542" i="1"/>
  <c r="U542" i="1" s="1"/>
  <c r="Q542" i="1"/>
  <c r="T542" i="1" s="1"/>
  <c r="N542" i="1"/>
  <c r="M542" i="1"/>
  <c r="L542" i="1"/>
  <c r="O542" i="1" s="1"/>
  <c r="S541" i="1"/>
  <c r="R541" i="1"/>
  <c r="U541" i="1" s="1"/>
  <c r="Q541" i="1"/>
  <c r="T541" i="1" s="1"/>
  <c r="N541" i="1"/>
  <c r="M541" i="1"/>
  <c r="P541" i="1" s="1"/>
  <c r="L541" i="1"/>
  <c r="O541" i="1" s="1"/>
  <c r="S539" i="1"/>
  <c r="R539" i="1"/>
  <c r="U539" i="1" s="1"/>
  <c r="Q539" i="1"/>
  <c r="N539" i="1"/>
  <c r="N536" i="1" s="1"/>
  <c r="M539" i="1"/>
  <c r="P539" i="1" s="1"/>
  <c r="L539" i="1"/>
  <c r="O539" i="1" s="1"/>
  <c r="S538" i="1"/>
  <c r="R538" i="1"/>
  <c r="U538" i="1" s="1"/>
  <c r="Q538" i="1"/>
  <c r="T538" i="1" s="1"/>
  <c r="N538" i="1"/>
  <c r="M538" i="1"/>
  <c r="L538" i="1"/>
  <c r="O538" i="1" s="1"/>
  <c r="J533" i="1"/>
  <c r="I533" i="1"/>
  <c r="K533" i="1" s="1"/>
  <c r="J524" i="1"/>
  <c r="J512" i="1" s="1"/>
  <c r="I524" i="1"/>
  <c r="I512" i="1" s="1"/>
  <c r="K523" i="1"/>
  <c r="J523" i="1"/>
  <c r="S521" i="1"/>
  <c r="R521" i="1"/>
  <c r="U521" i="1" s="1"/>
  <c r="Q521" i="1"/>
  <c r="T521" i="1" s="1"/>
  <c r="N521" i="1"/>
  <c r="M521" i="1"/>
  <c r="L521" i="1"/>
  <c r="S520" i="1"/>
  <c r="R520" i="1"/>
  <c r="U520" i="1" s="1"/>
  <c r="Q520" i="1"/>
  <c r="N520" i="1"/>
  <c r="N519" i="1" s="1"/>
  <c r="M520" i="1"/>
  <c r="L520" i="1"/>
  <c r="O520" i="1" s="1"/>
  <c r="S518" i="1"/>
  <c r="R518" i="1"/>
  <c r="U518" i="1" s="1"/>
  <c r="Q518" i="1"/>
  <c r="N518" i="1"/>
  <c r="N515" i="1" s="1"/>
  <c r="M518" i="1"/>
  <c r="L518" i="1"/>
  <c r="O518" i="1" s="1"/>
  <c r="S517" i="1"/>
  <c r="S514" i="1" s="1"/>
  <c r="R517" i="1"/>
  <c r="U517" i="1" s="1"/>
  <c r="Q517" i="1"/>
  <c r="N517" i="1"/>
  <c r="N516" i="1" s="1"/>
  <c r="M517" i="1"/>
  <c r="L517" i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J492" i="1" s="1"/>
  <c r="I503" i="1"/>
  <c r="I492" i="1" s="1"/>
  <c r="S501" i="1"/>
  <c r="R501" i="1"/>
  <c r="U501" i="1" s="1"/>
  <c r="Q501" i="1"/>
  <c r="T501" i="1" s="1"/>
  <c r="N501" i="1"/>
  <c r="M501" i="1"/>
  <c r="L501" i="1"/>
  <c r="O501" i="1" s="1"/>
  <c r="S500" i="1"/>
  <c r="R500" i="1"/>
  <c r="Q500" i="1"/>
  <c r="Q499" i="1" s="1"/>
  <c r="T499" i="1" s="1"/>
  <c r="N500" i="1"/>
  <c r="M500" i="1"/>
  <c r="P500" i="1" s="1"/>
  <c r="L500" i="1"/>
  <c r="O500" i="1" s="1"/>
  <c r="S498" i="1"/>
  <c r="R498" i="1"/>
  <c r="R495" i="1" s="1"/>
  <c r="Q498" i="1"/>
  <c r="N498" i="1"/>
  <c r="M498" i="1"/>
  <c r="L498" i="1"/>
  <c r="L495" i="1" s="1"/>
  <c r="S497" i="1"/>
  <c r="S496" i="1" s="1"/>
  <c r="R497" i="1"/>
  <c r="Q497" i="1"/>
  <c r="T497" i="1" s="1"/>
  <c r="N497" i="1"/>
  <c r="M497" i="1"/>
  <c r="M494" i="1" s="1"/>
  <c r="P494" i="1" s="1"/>
  <c r="L497" i="1"/>
  <c r="J491" i="1"/>
  <c r="J490" i="1"/>
  <c r="J489" i="1"/>
  <c r="J488" i="1"/>
  <c r="J487" i="1"/>
  <c r="J486" i="1"/>
  <c r="I485" i="1"/>
  <c r="I484" i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M420" i="1"/>
  <c r="P420" i="1" s="1"/>
  <c r="L420" i="1"/>
  <c r="O420" i="1" s="1"/>
  <c r="S418" i="1"/>
  <c r="R418" i="1"/>
  <c r="Q418" i="1"/>
  <c r="Q415" i="1" s="1"/>
  <c r="N418" i="1"/>
  <c r="M418" i="1"/>
  <c r="L418" i="1"/>
  <c r="S417" i="1"/>
  <c r="R417" i="1"/>
  <c r="Q417" i="1"/>
  <c r="Q414" i="1" s="1"/>
  <c r="T414" i="1" s="1"/>
  <c r="N417" i="1"/>
  <c r="M417" i="1"/>
  <c r="L417" i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R399" i="1"/>
  <c r="Q399" i="1"/>
  <c r="T399" i="1" s="1"/>
  <c r="N399" i="1"/>
  <c r="M399" i="1"/>
  <c r="L399" i="1"/>
  <c r="O399" i="1" s="1"/>
  <c r="S397" i="1"/>
  <c r="S394" i="1" s="1"/>
  <c r="R397" i="1"/>
  <c r="Q397" i="1"/>
  <c r="N397" i="1"/>
  <c r="M397" i="1"/>
  <c r="P397" i="1" s="1"/>
  <c r="L397" i="1"/>
  <c r="S396" i="1"/>
  <c r="R396" i="1"/>
  <c r="Q396" i="1"/>
  <c r="T396" i="1" s="1"/>
  <c r="N396" i="1"/>
  <c r="M396" i="1"/>
  <c r="L396" i="1"/>
  <c r="K391" i="1"/>
  <c r="J391" i="1"/>
  <c r="I391" i="1"/>
  <c r="J388" i="1"/>
  <c r="I388" i="1"/>
  <c r="K388" i="1" s="1"/>
  <c r="J387" i="1"/>
  <c r="I387" i="1"/>
  <c r="K387" i="1" s="1"/>
  <c r="J386" i="1"/>
  <c r="I386" i="1"/>
  <c r="J385" i="1"/>
  <c r="I385" i="1"/>
  <c r="S383" i="1"/>
  <c r="R383" i="1"/>
  <c r="U383" i="1" s="1"/>
  <c r="Q383" i="1"/>
  <c r="N383" i="1"/>
  <c r="M383" i="1"/>
  <c r="P383" i="1" s="1"/>
  <c r="L383" i="1"/>
  <c r="O383" i="1" s="1"/>
  <c r="S382" i="1"/>
  <c r="S381" i="1" s="1"/>
  <c r="R382" i="1"/>
  <c r="Q382" i="1"/>
  <c r="T382" i="1" s="1"/>
  <c r="N382" i="1"/>
  <c r="M382" i="1"/>
  <c r="P382" i="1" s="1"/>
  <c r="L382" i="1"/>
  <c r="S380" i="1"/>
  <c r="R380" i="1"/>
  <c r="Q380" i="1"/>
  <c r="N380" i="1"/>
  <c r="M380" i="1"/>
  <c r="L380" i="1"/>
  <c r="S379" i="1"/>
  <c r="R379" i="1"/>
  <c r="U379" i="1" s="1"/>
  <c r="Q379" i="1"/>
  <c r="N379" i="1"/>
  <c r="N378" i="1" s="1"/>
  <c r="M379" i="1"/>
  <c r="P379" i="1" s="1"/>
  <c r="L379" i="1"/>
  <c r="O379" i="1" s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P364" i="1" s="1"/>
  <c r="L364" i="1"/>
  <c r="S363" i="1"/>
  <c r="R363" i="1"/>
  <c r="U363" i="1" s="1"/>
  <c r="Q363" i="1"/>
  <c r="T363" i="1" s="1"/>
  <c r="N363" i="1"/>
  <c r="M363" i="1"/>
  <c r="P363" i="1" s="1"/>
  <c r="L363" i="1"/>
  <c r="O363" i="1" s="1"/>
  <c r="S361" i="1"/>
  <c r="R361" i="1"/>
  <c r="Q361" i="1"/>
  <c r="T361" i="1" s="1"/>
  <c r="N361" i="1"/>
  <c r="M361" i="1"/>
  <c r="M358" i="1" s="1"/>
  <c r="L361" i="1"/>
  <c r="S360" i="1"/>
  <c r="R360" i="1"/>
  <c r="U360" i="1" s="1"/>
  <c r="Q360" i="1"/>
  <c r="T360" i="1" s="1"/>
  <c r="N360" i="1"/>
  <c r="M360" i="1"/>
  <c r="M357" i="1" s="1"/>
  <c r="L360" i="1"/>
  <c r="O360" i="1" s="1"/>
  <c r="D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Q341" i="1"/>
  <c r="T341" i="1" s="1"/>
  <c r="N341" i="1"/>
  <c r="M341" i="1"/>
  <c r="L341" i="1"/>
  <c r="S340" i="1"/>
  <c r="R340" i="1"/>
  <c r="U340" i="1" s="1"/>
  <c r="Q340" i="1"/>
  <c r="N340" i="1"/>
  <c r="M340" i="1"/>
  <c r="P340" i="1" s="1"/>
  <c r="L340" i="1"/>
  <c r="O340" i="1" s="1"/>
  <c r="S338" i="1"/>
  <c r="R338" i="1"/>
  <c r="U338" i="1" s="1"/>
  <c r="Q338" i="1"/>
  <c r="T338" i="1" s="1"/>
  <c r="N338" i="1"/>
  <c r="M338" i="1"/>
  <c r="L338" i="1"/>
  <c r="S337" i="1"/>
  <c r="R337" i="1"/>
  <c r="U337" i="1" s="1"/>
  <c r="Q337" i="1"/>
  <c r="T337" i="1" s="1"/>
  <c r="N337" i="1"/>
  <c r="M337" i="1"/>
  <c r="L337" i="1"/>
  <c r="O337" i="1" s="1"/>
  <c r="J330" i="1"/>
  <c r="J319" i="1" s="1"/>
  <c r="I330" i="1"/>
  <c r="I319" i="1" s="1"/>
  <c r="S328" i="1"/>
  <c r="R328" i="1"/>
  <c r="U328" i="1" s="1"/>
  <c r="Q328" i="1"/>
  <c r="T328" i="1" s="1"/>
  <c r="N328" i="1"/>
  <c r="M328" i="1"/>
  <c r="L328" i="1"/>
  <c r="S327" i="1"/>
  <c r="S326" i="1" s="1"/>
  <c r="R327" i="1"/>
  <c r="U327" i="1" s="1"/>
  <c r="Q327" i="1"/>
  <c r="T327" i="1" s="1"/>
  <c r="N327" i="1"/>
  <c r="M327" i="1"/>
  <c r="L327" i="1"/>
  <c r="S325" i="1"/>
  <c r="S322" i="1" s="1"/>
  <c r="R325" i="1"/>
  <c r="Q325" i="1"/>
  <c r="T325" i="1" s="1"/>
  <c r="N325" i="1"/>
  <c r="M325" i="1"/>
  <c r="L325" i="1"/>
  <c r="S324" i="1"/>
  <c r="R324" i="1"/>
  <c r="Q324" i="1"/>
  <c r="N324" i="1"/>
  <c r="N323" i="1" s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Q311" i="1"/>
  <c r="T311" i="1" s="1"/>
  <c r="N311" i="1"/>
  <c r="M311" i="1"/>
  <c r="L311" i="1"/>
  <c r="O311" i="1" s="1"/>
  <c r="S310" i="1"/>
  <c r="R310" i="1"/>
  <c r="U310" i="1" s="1"/>
  <c r="Q310" i="1"/>
  <c r="N310" i="1"/>
  <c r="M310" i="1"/>
  <c r="P310" i="1" s="1"/>
  <c r="L310" i="1"/>
  <c r="O310" i="1" s="1"/>
  <c r="S308" i="1"/>
  <c r="R308" i="1"/>
  <c r="Q308" i="1"/>
  <c r="N308" i="1"/>
  <c r="N305" i="1" s="1"/>
  <c r="M308" i="1"/>
  <c r="L308" i="1"/>
  <c r="S307" i="1"/>
  <c r="R307" i="1"/>
  <c r="U307" i="1" s="1"/>
  <c r="Q307" i="1"/>
  <c r="T307" i="1" s="1"/>
  <c r="N307" i="1"/>
  <c r="M307" i="1"/>
  <c r="L307" i="1"/>
  <c r="O307" i="1" s="1"/>
  <c r="J296" i="1"/>
  <c r="I296" i="1"/>
  <c r="J295" i="1"/>
  <c r="I295" i="1"/>
  <c r="J293" i="1"/>
  <c r="J280" i="1" s="1"/>
  <c r="I293" i="1"/>
  <c r="I280" i="1" s="1"/>
  <c r="J292" i="1"/>
  <c r="J281" i="1" s="1"/>
  <c r="I292" i="1"/>
  <c r="S290" i="1"/>
  <c r="R290" i="1"/>
  <c r="Q290" i="1"/>
  <c r="T290" i="1" s="1"/>
  <c r="N290" i="1"/>
  <c r="M290" i="1"/>
  <c r="P290" i="1" s="1"/>
  <c r="L290" i="1"/>
  <c r="S289" i="1"/>
  <c r="R289" i="1"/>
  <c r="U289" i="1" s="1"/>
  <c r="Q289" i="1"/>
  <c r="T289" i="1" s="1"/>
  <c r="N289" i="1"/>
  <c r="M289" i="1"/>
  <c r="L289" i="1"/>
  <c r="O289" i="1" s="1"/>
  <c r="S287" i="1"/>
  <c r="R287" i="1"/>
  <c r="U287" i="1" s="1"/>
  <c r="Q287" i="1"/>
  <c r="T287" i="1" s="1"/>
  <c r="N287" i="1"/>
  <c r="M287" i="1"/>
  <c r="L287" i="1"/>
  <c r="L284" i="1" s="1"/>
  <c r="S286" i="1"/>
  <c r="R286" i="1"/>
  <c r="U286" i="1" s="1"/>
  <c r="Q286" i="1"/>
  <c r="T286" i="1" s="1"/>
  <c r="N286" i="1"/>
  <c r="M286" i="1"/>
  <c r="P286" i="1" s="1"/>
  <c r="L286" i="1"/>
  <c r="O286" i="1" s="1"/>
  <c r="J276" i="1"/>
  <c r="I276" i="1"/>
  <c r="S274" i="1"/>
  <c r="R274" i="1"/>
  <c r="Q274" i="1"/>
  <c r="T274" i="1" s="1"/>
  <c r="N274" i="1"/>
  <c r="M274" i="1"/>
  <c r="P274" i="1" s="1"/>
  <c r="L274" i="1"/>
  <c r="S273" i="1"/>
  <c r="S272" i="1" s="1"/>
  <c r="R273" i="1"/>
  <c r="U273" i="1" s="1"/>
  <c r="Q273" i="1"/>
  <c r="T273" i="1" s="1"/>
  <c r="N273" i="1"/>
  <c r="N272" i="1" s="1"/>
  <c r="M273" i="1"/>
  <c r="P273" i="1" s="1"/>
  <c r="L273" i="1"/>
  <c r="O273" i="1" s="1"/>
  <c r="S271" i="1"/>
  <c r="S268" i="1" s="1"/>
  <c r="R271" i="1"/>
  <c r="Q271" i="1"/>
  <c r="N271" i="1"/>
  <c r="N268" i="1" s="1"/>
  <c r="M271" i="1"/>
  <c r="L271" i="1"/>
  <c r="S270" i="1"/>
  <c r="R270" i="1"/>
  <c r="U270" i="1" s="1"/>
  <c r="Q270" i="1"/>
  <c r="T270" i="1" s="1"/>
  <c r="N270" i="1"/>
  <c r="N267" i="1" s="1"/>
  <c r="M270" i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Q232" i="1" s="1"/>
  <c r="N233" i="1"/>
  <c r="M233" i="1"/>
  <c r="L233" i="1"/>
  <c r="K231" i="1"/>
  <c r="J231" i="1"/>
  <c r="I231" i="1"/>
  <c r="J230" i="1"/>
  <c r="J185" i="1" s="1"/>
  <c r="I230" i="1"/>
  <c r="K230" i="1" s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R222" i="1" s="1"/>
  <c r="Q223" i="1"/>
  <c r="Q222" i="1" s="1"/>
  <c r="N223" i="1"/>
  <c r="M223" i="1"/>
  <c r="M222" i="1" s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Q214" i="1" s="1"/>
  <c r="N215" i="1"/>
  <c r="N214" i="1" s="1"/>
  <c r="M215" i="1"/>
  <c r="M214" i="1" s="1"/>
  <c r="L215" i="1"/>
  <c r="K212" i="1"/>
  <c r="J212" i="1"/>
  <c r="K211" i="1"/>
  <c r="J211" i="1"/>
  <c r="J209" i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M204" i="1"/>
  <c r="L204" i="1"/>
  <c r="L203" i="1" s="1"/>
  <c r="J201" i="1"/>
  <c r="J200" i="1"/>
  <c r="J198" i="1"/>
  <c r="I198" i="1"/>
  <c r="I195" i="1" s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L194" i="1"/>
  <c r="O194" i="1" s="1"/>
  <c r="S193" i="1"/>
  <c r="R193" i="1"/>
  <c r="U193" i="1" s="1"/>
  <c r="Q193" i="1"/>
  <c r="T193" i="1" s="1"/>
  <c r="N193" i="1"/>
  <c r="M193" i="1"/>
  <c r="P193" i="1" s="1"/>
  <c r="L193" i="1"/>
  <c r="O193" i="1" s="1"/>
  <c r="S191" i="1"/>
  <c r="R191" i="1"/>
  <c r="Q191" i="1"/>
  <c r="Q188" i="1" s="1"/>
  <c r="N191" i="1"/>
  <c r="N188" i="1" s="1"/>
  <c r="M191" i="1"/>
  <c r="L191" i="1"/>
  <c r="S190" i="1"/>
  <c r="R190" i="1"/>
  <c r="Q190" i="1"/>
  <c r="N190" i="1"/>
  <c r="N189" i="1" s="1"/>
  <c r="M190" i="1"/>
  <c r="L190" i="1"/>
  <c r="O190" i="1" s="1"/>
  <c r="K184" i="1"/>
  <c r="J183" i="1"/>
  <c r="I183" i="1"/>
  <c r="I172" i="1" s="1"/>
  <c r="S181" i="1"/>
  <c r="R181" i="1"/>
  <c r="U181" i="1" s="1"/>
  <c r="Q181" i="1"/>
  <c r="N181" i="1"/>
  <c r="M181" i="1"/>
  <c r="P181" i="1" s="1"/>
  <c r="L181" i="1"/>
  <c r="O181" i="1" s="1"/>
  <c r="S180" i="1"/>
  <c r="R180" i="1"/>
  <c r="Q180" i="1"/>
  <c r="T180" i="1" s="1"/>
  <c r="N180" i="1"/>
  <c r="M180" i="1"/>
  <c r="P180" i="1" s="1"/>
  <c r="L180" i="1"/>
  <c r="L179" i="1" s="1"/>
  <c r="O179" i="1" s="1"/>
  <c r="S178" i="1"/>
  <c r="S175" i="1" s="1"/>
  <c r="R178" i="1"/>
  <c r="Q178" i="1"/>
  <c r="N178" i="1"/>
  <c r="M178" i="1"/>
  <c r="M175" i="1" s="1"/>
  <c r="L178" i="1"/>
  <c r="S177" i="1"/>
  <c r="R177" i="1"/>
  <c r="Q177" i="1"/>
  <c r="T177" i="1" s="1"/>
  <c r="N177" i="1"/>
  <c r="M177" i="1"/>
  <c r="P177" i="1" s="1"/>
  <c r="L177" i="1"/>
  <c r="J167" i="1"/>
  <c r="I167" i="1"/>
  <c r="I156" i="1" s="1"/>
  <c r="K156" i="1" s="1"/>
  <c r="S165" i="1"/>
  <c r="R165" i="1"/>
  <c r="U165" i="1" s="1"/>
  <c r="Q165" i="1"/>
  <c r="T165" i="1" s="1"/>
  <c r="N165" i="1"/>
  <c r="M165" i="1"/>
  <c r="L165" i="1"/>
  <c r="S164" i="1"/>
  <c r="R164" i="1"/>
  <c r="U164" i="1" s="1"/>
  <c r="Q164" i="1"/>
  <c r="N164" i="1"/>
  <c r="M164" i="1"/>
  <c r="P164" i="1" s="1"/>
  <c r="L164" i="1"/>
  <c r="O164" i="1" s="1"/>
  <c r="S162" i="1"/>
  <c r="S159" i="1" s="1"/>
  <c r="R162" i="1"/>
  <c r="Q162" i="1"/>
  <c r="T162" i="1" s="1"/>
  <c r="N162" i="1"/>
  <c r="M162" i="1"/>
  <c r="L162" i="1"/>
  <c r="S161" i="1"/>
  <c r="S158" i="1" s="1"/>
  <c r="R161" i="1"/>
  <c r="U161" i="1" s="1"/>
  <c r="Q161" i="1"/>
  <c r="T161" i="1" s="1"/>
  <c r="N161" i="1"/>
  <c r="M161" i="1"/>
  <c r="L161" i="1"/>
  <c r="O161" i="1" s="1"/>
  <c r="J156" i="1"/>
  <c r="J154" i="1"/>
  <c r="J136" i="1" s="1"/>
  <c r="I154" i="1"/>
  <c r="J153" i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O147" i="1" s="1"/>
  <c r="S146" i="1"/>
  <c r="R146" i="1"/>
  <c r="U146" i="1" s="1"/>
  <c r="Q146" i="1"/>
  <c r="N146" i="1"/>
  <c r="M146" i="1"/>
  <c r="M145" i="1" s="1"/>
  <c r="P145" i="1" s="1"/>
  <c r="L146" i="1"/>
  <c r="O146" i="1" s="1"/>
  <c r="S144" i="1"/>
  <c r="S141" i="1" s="1"/>
  <c r="R144" i="1"/>
  <c r="Q144" i="1"/>
  <c r="Q141" i="1" s="1"/>
  <c r="N144" i="1"/>
  <c r="M144" i="1"/>
  <c r="L144" i="1"/>
  <c r="S143" i="1"/>
  <c r="S140" i="1" s="1"/>
  <c r="R143" i="1"/>
  <c r="U143" i="1" s="1"/>
  <c r="Q143" i="1"/>
  <c r="T143" i="1" s="1"/>
  <c r="N143" i="1"/>
  <c r="N140" i="1" s="1"/>
  <c r="M143" i="1"/>
  <c r="P143" i="1" s="1"/>
  <c r="L143" i="1"/>
  <c r="O143" i="1" s="1"/>
  <c r="J130" i="1"/>
  <c r="I130" i="1"/>
  <c r="J129" i="1"/>
  <c r="I129" i="1"/>
  <c r="J128" i="1"/>
  <c r="I128" i="1"/>
  <c r="J127" i="1"/>
  <c r="J116" i="1" s="1"/>
  <c r="I127" i="1"/>
  <c r="S125" i="1"/>
  <c r="R125" i="1"/>
  <c r="Q125" i="1"/>
  <c r="N125" i="1"/>
  <c r="M125" i="1"/>
  <c r="L125" i="1"/>
  <c r="S124" i="1"/>
  <c r="R124" i="1"/>
  <c r="U124" i="1" s="1"/>
  <c r="Q124" i="1"/>
  <c r="Q123" i="1" s="1"/>
  <c r="N124" i="1"/>
  <c r="M124" i="1"/>
  <c r="L124" i="1"/>
  <c r="L123" i="1" s="1"/>
  <c r="S122" i="1"/>
  <c r="R122" i="1"/>
  <c r="Q122" i="1"/>
  <c r="N122" i="1"/>
  <c r="N119" i="1" s="1"/>
  <c r="M122" i="1"/>
  <c r="P122" i="1" s="1"/>
  <c r="L122" i="1"/>
  <c r="S121" i="1"/>
  <c r="R121" i="1"/>
  <c r="Q121" i="1"/>
  <c r="T121" i="1" s="1"/>
  <c r="N121" i="1"/>
  <c r="M121" i="1"/>
  <c r="L121" i="1"/>
  <c r="J114" i="1"/>
  <c r="I114" i="1"/>
  <c r="J113" i="1"/>
  <c r="I113" i="1"/>
  <c r="J109" i="1"/>
  <c r="J93" i="1" s="1"/>
  <c r="I109" i="1"/>
  <c r="I93" i="1" s="1"/>
  <c r="J108" i="1"/>
  <c r="I108" i="1"/>
  <c r="I92" i="1" s="1"/>
  <c r="S102" i="1"/>
  <c r="R102" i="1"/>
  <c r="U102" i="1" s="1"/>
  <c r="Q102" i="1"/>
  <c r="N102" i="1"/>
  <c r="M102" i="1"/>
  <c r="L102" i="1"/>
  <c r="O102" i="1" s="1"/>
  <c r="S101" i="1"/>
  <c r="R101" i="1"/>
  <c r="U101" i="1" s="1"/>
  <c r="Q101" i="1"/>
  <c r="T101" i="1" s="1"/>
  <c r="N101" i="1"/>
  <c r="M101" i="1"/>
  <c r="P101" i="1" s="1"/>
  <c r="L101" i="1"/>
  <c r="L100" i="1" s="1"/>
  <c r="O100" i="1" s="1"/>
  <c r="S99" i="1"/>
  <c r="S96" i="1" s="1"/>
  <c r="R99" i="1"/>
  <c r="R96" i="1" s="1"/>
  <c r="Q99" i="1"/>
  <c r="N99" i="1"/>
  <c r="M99" i="1"/>
  <c r="L99" i="1"/>
  <c r="S98" i="1"/>
  <c r="S95" i="1" s="1"/>
  <c r="R98" i="1"/>
  <c r="Q98" i="1"/>
  <c r="T98" i="1" s="1"/>
  <c r="N98" i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N80" i="1"/>
  <c r="M80" i="1"/>
  <c r="L80" i="1"/>
  <c r="O80" i="1" s="1"/>
  <c r="S79" i="1"/>
  <c r="R79" i="1"/>
  <c r="Q79" i="1"/>
  <c r="N79" i="1"/>
  <c r="N78" i="1" s="1"/>
  <c r="M79" i="1"/>
  <c r="P79" i="1" s="1"/>
  <c r="L79" i="1"/>
  <c r="S77" i="1"/>
  <c r="R77" i="1"/>
  <c r="Q77" i="1"/>
  <c r="N77" i="1"/>
  <c r="N74" i="1" s="1"/>
  <c r="M77" i="1"/>
  <c r="L77" i="1"/>
  <c r="S76" i="1"/>
  <c r="S73" i="1" s="1"/>
  <c r="R76" i="1"/>
  <c r="R73" i="1" s="1"/>
  <c r="Q76" i="1"/>
  <c r="N76" i="1"/>
  <c r="M76" i="1"/>
  <c r="M73" i="1" s="1"/>
  <c r="P73" i="1" s="1"/>
  <c r="L76" i="1"/>
  <c r="S67" i="1"/>
  <c r="R67" i="1"/>
  <c r="U67" i="1" s="1"/>
  <c r="Q67" i="1"/>
  <c r="T67" i="1" s="1"/>
  <c r="N67" i="1"/>
  <c r="M67" i="1"/>
  <c r="L67" i="1"/>
  <c r="S66" i="1"/>
  <c r="R66" i="1"/>
  <c r="Q66" i="1"/>
  <c r="N66" i="1"/>
  <c r="M66" i="1"/>
  <c r="P66" i="1" s="1"/>
  <c r="L66" i="1"/>
  <c r="S64" i="1"/>
  <c r="R64" i="1"/>
  <c r="Q64" i="1"/>
  <c r="T64" i="1" s="1"/>
  <c r="N64" i="1"/>
  <c r="M64" i="1"/>
  <c r="M61" i="1" s="1"/>
  <c r="L64" i="1"/>
  <c r="S63" i="1"/>
  <c r="R63" i="1"/>
  <c r="Q63" i="1"/>
  <c r="N63" i="1"/>
  <c r="M63" i="1"/>
  <c r="L63" i="1"/>
  <c r="S52" i="1"/>
  <c r="S50" i="1" s="1"/>
  <c r="R52" i="1"/>
  <c r="U52" i="1" s="1"/>
  <c r="Q52" i="1"/>
  <c r="Q50" i="1" s="1"/>
  <c r="T50" i="1" s="1"/>
  <c r="N52" i="1"/>
  <c r="N50" i="1" s="1"/>
  <c r="M52" i="1"/>
  <c r="L52" i="1"/>
  <c r="O52" i="1" s="1"/>
  <c r="U51" i="1"/>
  <c r="T51" i="1"/>
  <c r="P51" i="1"/>
  <c r="O51" i="1"/>
  <c r="S49" i="1"/>
  <c r="S47" i="1" s="1"/>
  <c r="R49" i="1"/>
  <c r="U49" i="1" s="1"/>
  <c r="Q49" i="1"/>
  <c r="Q47" i="1" s="1"/>
  <c r="T47" i="1" s="1"/>
  <c r="N49" i="1"/>
  <c r="N47" i="1" s="1"/>
  <c r="M49" i="1"/>
  <c r="L49" i="1"/>
  <c r="L47" i="1" s="1"/>
  <c r="U48" i="1"/>
  <c r="T48" i="1"/>
  <c r="P48" i="1"/>
  <c r="O48" i="1"/>
  <c r="S45" i="1"/>
  <c r="R45" i="1"/>
  <c r="Q45" i="1"/>
  <c r="P45" i="1"/>
  <c r="N45" i="1"/>
  <c r="M45" i="1"/>
  <c r="L45" i="1"/>
  <c r="S605" i="1" l="1"/>
  <c r="N232" i="1"/>
  <c r="M232" i="1"/>
  <c r="L176" i="1"/>
  <c r="U80" i="15"/>
  <c r="N95" i="1"/>
  <c r="M335" i="1"/>
  <c r="L60" i="1"/>
  <c r="N174" i="1"/>
  <c r="Q515" i="1"/>
  <c r="T515" i="1" s="1"/>
  <c r="M762" i="1"/>
  <c r="R499" i="1"/>
  <c r="U499" i="1" s="1"/>
  <c r="S187" i="1"/>
  <c r="N96" i="1"/>
  <c r="S378" i="1"/>
  <c r="Q514" i="1"/>
  <c r="T175" i="15"/>
  <c r="P380" i="15"/>
  <c r="M179" i="15"/>
  <c r="P179" i="15" s="1"/>
  <c r="L326" i="14"/>
  <c r="O326" i="14" s="1"/>
  <c r="O47" i="14"/>
  <c r="K784" i="15"/>
  <c r="K781" i="15"/>
  <c r="O285" i="15"/>
  <c r="L222" i="1"/>
  <c r="O80" i="15"/>
  <c r="N192" i="1"/>
  <c r="S644" i="14"/>
  <c r="S642" i="14" s="1"/>
  <c r="P581" i="14"/>
  <c r="J675" i="15"/>
  <c r="L358" i="15"/>
  <c r="L356" i="15" s="1"/>
  <c r="R494" i="1"/>
  <c r="U494" i="1" s="1"/>
  <c r="S100" i="1"/>
  <c r="O290" i="15"/>
  <c r="U77" i="15"/>
  <c r="N160" i="1"/>
  <c r="M203" i="1"/>
  <c r="N336" i="1"/>
  <c r="O338" i="14"/>
  <c r="Q645" i="15"/>
  <c r="T645" i="15" s="1"/>
  <c r="S394" i="15"/>
  <c r="K346" i="15"/>
  <c r="P308" i="15"/>
  <c r="K220" i="15"/>
  <c r="T731" i="15"/>
  <c r="K709" i="15"/>
  <c r="Q693" i="15"/>
  <c r="U378" i="15"/>
  <c r="O99" i="15"/>
  <c r="J675" i="14"/>
  <c r="R763" i="15"/>
  <c r="L602" i="15"/>
  <c r="O602" i="15" s="1"/>
  <c r="L557" i="15"/>
  <c r="O557" i="15" s="1"/>
  <c r="L339" i="15"/>
  <c r="O339" i="15" s="1"/>
  <c r="P178" i="15"/>
  <c r="O64" i="15"/>
  <c r="Q160" i="14"/>
  <c r="T160" i="14" s="1"/>
  <c r="R605" i="15"/>
  <c r="U605" i="15" s="1"/>
  <c r="O563" i="15"/>
  <c r="M335" i="15"/>
  <c r="M333" i="15" s="1"/>
  <c r="I242" i="15"/>
  <c r="K242" i="15" s="1"/>
  <c r="U418" i="15"/>
  <c r="L234" i="15"/>
  <c r="L214" i="15"/>
  <c r="O214" i="15" s="1"/>
  <c r="P581" i="13"/>
  <c r="U607" i="14"/>
  <c r="L254" i="14"/>
  <c r="O254" i="14" s="1"/>
  <c r="O147" i="14"/>
  <c r="K785" i="15"/>
  <c r="K782" i="15"/>
  <c r="K779" i="15"/>
  <c r="P539" i="15"/>
  <c r="K314" i="15"/>
  <c r="K276" i="15"/>
  <c r="L235" i="13"/>
  <c r="M159" i="13"/>
  <c r="P159" i="13" s="1"/>
  <c r="O191" i="14"/>
  <c r="K705" i="15"/>
  <c r="M306" i="15"/>
  <c r="U144" i="15"/>
  <c r="O607" i="14"/>
  <c r="I758" i="15"/>
  <c r="K758" i="15" s="1"/>
  <c r="U695" i="15"/>
  <c r="N536" i="15"/>
  <c r="N534" i="15" s="1"/>
  <c r="P498" i="15"/>
  <c r="O421" i="15"/>
  <c r="L381" i="15"/>
  <c r="O381" i="15" s="1"/>
  <c r="K371" i="15"/>
  <c r="K369" i="15"/>
  <c r="P338" i="15"/>
  <c r="T271" i="15"/>
  <c r="L192" i="15"/>
  <c r="O192" i="15" s="1"/>
  <c r="I169" i="15"/>
  <c r="K169" i="15" s="1"/>
  <c r="O144" i="15"/>
  <c r="Q119" i="15"/>
  <c r="Q117" i="15" s="1"/>
  <c r="P80" i="15"/>
  <c r="L97" i="15"/>
  <c r="O97" i="15" s="1"/>
  <c r="L46" i="11"/>
  <c r="L44" i="11" s="1"/>
  <c r="P80" i="13"/>
  <c r="U621" i="14"/>
  <c r="L235" i="14"/>
  <c r="U147" i="14"/>
  <c r="K783" i="15"/>
  <c r="K780" i="15"/>
  <c r="J701" i="15"/>
  <c r="R692" i="15"/>
  <c r="R690" i="15" s="1"/>
  <c r="Q642" i="15"/>
  <c r="T642" i="15" s="1"/>
  <c r="J374" i="15"/>
  <c r="L359" i="15"/>
  <c r="N305" i="15"/>
  <c r="N303" i="15" s="1"/>
  <c r="O274" i="15"/>
  <c r="U191" i="15"/>
  <c r="K167" i="15"/>
  <c r="K152" i="15"/>
  <c r="I116" i="15"/>
  <c r="K116" i="15" s="1"/>
  <c r="S763" i="12"/>
  <c r="T763" i="12" s="1"/>
  <c r="R693" i="15"/>
  <c r="K631" i="15"/>
  <c r="T607" i="15"/>
  <c r="P563" i="15"/>
  <c r="M519" i="15"/>
  <c r="P519" i="15" s="1"/>
  <c r="P325" i="15"/>
  <c r="Q306" i="15"/>
  <c r="Q730" i="15"/>
  <c r="Q728" i="15" s="1"/>
  <c r="P336" i="15"/>
  <c r="M288" i="15"/>
  <c r="P288" i="15" s="1"/>
  <c r="L235" i="15"/>
  <c r="U189" i="15"/>
  <c r="K440" i="14"/>
  <c r="J343" i="14"/>
  <c r="I319" i="14"/>
  <c r="K319" i="14" s="1"/>
  <c r="L236" i="14"/>
  <c r="L74" i="14"/>
  <c r="O74" i="14" s="1"/>
  <c r="T765" i="15"/>
  <c r="I701" i="15"/>
  <c r="K701" i="15" s="1"/>
  <c r="N537" i="15"/>
  <c r="S392" i="15"/>
  <c r="Q268" i="15"/>
  <c r="Q266" i="15" s="1"/>
  <c r="P194" i="15"/>
  <c r="I138" i="15"/>
  <c r="K138" i="15" s="1"/>
  <c r="T376" i="15"/>
  <c r="T147" i="15"/>
  <c r="Q145" i="15"/>
  <c r="T145" i="15" s="1"/>
  <c r="N515" i="14"/>
  <c r="N513" i="14" s="1"/>
  <c r="K368" i="14"/>
  <c r="R730" i="15"/>
  <c r="R728" i="15" s="1"/>
  <c r="R731" i="15"/>
  <c r="U731" i="15" s="1"/>
  <c r="M579" i="15"/>
  <c r="P579" i="15" s="1"/>
  <c r="P581" i="15"/>
  <c r="R534" i="15"/>
  <c r="U534" i="15" s="1"/>
  <c r="U536" i="15"/>
  <c r="Q394" i="15"/>
  <c r="Q392" i="15" s="1"/>
  <c r="T392" i="15" s="1"/>
  <c r="T397" i="15"/>
  <c r="Q395" i="15"/>
  <c r="T395" i="15" s="1"/>
  <c r="R333" i="15"/>
  <c r="U333" i="15" s="1"/>
  <c r="I280" i="15"/>
  <c r="K280" i="15" s="1"/>
  <c r="K293" i="15"/>
  <c r="L176" i="15"/>
  <c r="O176" i="15" s="1"/>
  <c r="O178" i="15"/>
  <c r="I92" i="15"/>
  <c r="K92" i="15" s="1"/>
  <c r="K108" i="15"/>
  <c r="N46" i="15"/>
  <c r="N44" i="15" s="1"/>
  <c r="O49" i="15"/>
  <c r="N47" i="15"/>
  <c r="O47" i="15" s="1"/>
  <c r="L760" i="15"/>
  <c r="O760" i="15" s="1"/>
  <c r="O761" i="15"/>
  <c r="O607" i="15"/>
  <c r="L605" i="15"/>
  <c r="O605" i="15" s="1"/>
  <c r="R395" i="15"/>
  <c r="U395" i="15" s="1"/>
  <c r="R394" i="15"/>
  <c r="U394" i="15" s="1"/>
  <c r="U397" i="15"/>
  <c r="R266" i="15"/>
  <c r="L100" i="15"/>
  <c r="O100" i="15" s="1"/>
  <c r="O102" i="15"/>
  <c r="N74" i="15"/>
  <c r="N72" i="15" s="1"/>
  <c r="P77" i="15"/>
  <c r="N75" i="15"/>
  <c r="O75" i="15" s="1"/>
  <c r="L381" i="13"/>
  <c r="O381" i="13" s="1"/>
  <c r="O144" i="13"/>
  <c r="T122" i="13"/>
  <c r="P77" i="13"/>
  <c r="O62" i="13"/>
  <c r="P539" i="14"/>
  <c r="K209" i="14"/>
  <c r="T122" i="14"/>
  <c r="U761" i="15"/>
  <c r="R760" i="15"/>
  <c r="L728" i="15"/>
  <c r="O728" i="15" s="1"/>
  <c r="O643" i="15"/>
  <c r="L642" i="15"/>
  <c r="O642" i="15" s="1"/>
  <c r="U604" i="15"/>
  <c r="R602" i="15"/>
  <c r="U602" i="15" s="1"/>
  <c r="L579" i="15"/>
  <c r="O579" i="15" s="1"/>
  <c r="O581" i="15"/>
  <c r="P518" i="15"/>
  <c r="M516" i="15"/>
  <c r="P516" i="15" s="1"/>
  <c r="M499" i="15"/>
  <c r="P499" i="15" s="1"/>
  <c r="P501" i="15"/>
  <c r="L377" i="15"/>
  <c r="L375" i="15" s="1"/>
  <c r="O375" i="15" s="1"/>
  <c r="O380" i="15"/>
  <c r="R377" i="15"/>
  <c r="R375" i="15" s="1"/>
  <c r="M269" i="15"/>
  <c r="P269" i="15" s="1"/>
  <c r="P271" i="15"/>
  <c r="M268" i="15"/>
  <c r="M266" i="15" s="1"/>
  <c r="S269" i="15"/>
  <c r="L222" i="15"/>
  <c r="O222" i="15" s="1"/>
  <c r="N189" i="15"/>
  <c r="O189" i="15" s="1"/>
  <c r="N188" i="15"/>
  <c r="N186" i="15" s="1"/>
  <c r="M47" i="15"/>
  <c r="P49" i="15"/>
  <c r="Q19" i="15"/>
  <c r="T19" i="15" s="1"/>
  <c r="T22" i="15"/>
  <c r="O311" i="15"/>
  <c r="L309" i="15"/>
  <c r="O309" i="15" s="1"/>
  <c r="Q602" i="15"/>
  <c r="T602" i="15" s="1"/>
  <c r="T604" i="15"/>
  <c r="Q576" i="15"/>
  <c r="T576" i="15" s="1"/>
  <c r="L516" i="15"/>
  <c r="O516" i="15" s="1"/>
  <c r="O518" i="15"/>
  <c r="U494" i="15"/>
  <c r="R493" i="15"/>
  <c r="N358" i="15"/>
  <c r="O357" i="15"/>
  <c r="S305" i="15"/>
  <c r="S303" i="15" s="1"/>
  <c r="S306" i="15"/>
  <c r="T308" i="15"/>
  <c r="M284" i="15"/>
  <c r="M282" i="15" s="1"/>
  <c r="M285" i="15"/>
  <c r="P285" i="15" s="1"/>
  <c r="P287" i="15"/>
  <c r="U271" i="15"/>
  <c r="S268" i="15"/>
  <c r="U268" i="15" s="1"/>
  <c r="M188" i="15"/>
  <c r="P191" i="15"/>
  <c r="M189" i="15"/>
  <c r="L159" i="15"/>
  <c r="L157" i="15" s="1"/>
  <c r="R96" i="15"/>
  <c r="R94" i="15" s="1"/>
  <c r="R97" i="15"/>
  <c r="S157" i="13"/>
  <c r="K785" i="14"/>
  <c r="K779" i="14"/>
  <c r="J701" i="14"/>
  <c r="P418" i="14"/>
  <c r="T415" i="14"/>
  <c r="R303" i="14"/>
  <c r="N268" i="14"/>
  <c r="N266" i="14" s="1"/>
  <c r="P194" i="14"/>
  <c r="J674" i="15"/>
  <c r="U577" i="15"/>
  <c r="R576" i="15"/>
  <c r="U576" i="15" s="1"/>
  <c r="R496" i="15"/>
  <c r="Q377" i="15"/>
  <c r="Q375" i="15" s="1"/>
  <c r="Q378" i="15"/>
  <c r="T378" i="15" s="1"/>
  <c r="J231" i="15"/>
  <c r="J185" i="15" s="1"/>
  <c r="S160" i="15"/>
  <c r="S159" i="15"/>
  <c r="S157" i="15" s="1"/>
  <c r="S119" i="15"/>
  <c r="S117" i="15" s="1"/>
  <c r="Q96" i="15"/>
  <c r="Q94" i="15" s="1"/>
  <c r="Q97" i="15"/>
  <c r="N62" i="15"/>
  <c r="O62" i="15" s="1"/>
  <c r="P64" i="15"/>
  <c r="N222" i="1"/>
  <c r="K292" i="13"/>
  <c r="K154" i="13"/>
  <c r="S692" i="14"/>
  <c r="S690" i="14" s="1"/>
  <c r="O418" i="14"/>
  <c r="P191" i="14"/>
  <c r="M760" i="15"/>
  <c r="P760" i="15" s="1"/>
  <c r="P761" i="15"/>
  <c r="S495" i="15"/>
  <c r="S493" i="15" s="1"/>
  <c r="S496" i="15"/>
  <c r="L495" i="15"/>
  <c r="L493" i="15" s="1"/>
  <c r="L496" i="15"/>
  <c r="O496" i="15" s="1"/>
  <c r="L335" i="15"/>
  <c r="L333" i="15" s="1"/>
  <c r="L336" i="15"/>
  <c r="O336" i="15" s="1"/>
  <c r="M309" i="15"/>
  <c r="P309" i="15" s="1"/>
  <c r="P311" i="15"/>
  <c r="R145" i="15"/>
  <c r="U145" i="15" s="1"/>
  <c r="R141" i="15"/>
  <c r="R139" i="15" s="1"/>
  <c r="O77" i="15"/>
  <c r="S44" i="15"/>
  <c r="R44" i="15"/>
  <c r="U44" i="15" s="1"/>
  <c r="U765" i="15"/>
  <c r="N728" i="15"/>
  <c r="Q714" i="15"/>
  <c r="T714" i="15" s="1"/>
  <c r="J702" i="15"/>
  <c r="U618" i="15"/>
  <c r="Q618" i="15"/>
  <c r="T618" i="15" s="1"/>
  <c r="N616" i="15"/>
  <c r="O539" i="15"/>
  <c r="T418" i="15"/>
  <c r="R415" i="15"/>
  <c r="U415" i="15" s="1"/>
  <c r="P361" i="15"/>
  <c r="S320" i="15"/>
  <c r="K292" i="15"/>
  <c r="L268" i="15"/>
  <c r="L266" i="15" s="1"/>
  <c r="R269" i="15"/>
  <c r="K202" i="15"/>
  <c r="S188" i="15"/>
  <c r="S186" i="15" s="1"/>
  <c r="N175" i="15"/>
  <c r="N173" i="15" s="1"/>
  <c r="I156" i="15"/>
  <c r="K156" i="15" s="1"/>
  <c r="N119" i="15"/>
  <c r="N117" i="15" s="1"/>
  <c r="I83" i="15"/>
  <c r="I71" i="15" s="1"/>
  <c r="K71" i="15" s="1"/>
  <c r="S74" i="15"/>
  <c r="S72" i="15" s="1"/>
  <c r="M74" i="15"/>
  <c r="M72" i="15" s="1"/>
  <c r="S75" i="15"/>
  <c r="M61" i="15"/>
  <c r="M59" i="15" s="1"/>
  <c r="S59" i="15"/>
  <c r="L46" i="15"/>
  <c r="N19" i="15"/>
  <c r="M714" i="15"/>
  <c r="P714" i="15" s="1"/>
  <c r="R320" i="15"/>
  <c r="U320" i="15" s="1"/>
  <c r="K154" i="15"/>
  <c r="M141" i="15"/>
  <c r="M139" i="15" s="1"/>
  <c r="R74" i="15"/>
  <c r="R72" i="15" s="1"/>
  <c r="L74" i="15"/>
  <c r="R75" i="15"/>
  <c r="L19" i="15"/>
  <c r="R619" i="15"/>
  <c r="N557" i="15"/>
  <c r="N555" i="15" s="1"/>
  <c r="N558" i="15"/>
  <c r="J458" i="15"/>
  <c r="K386" i="15"/>
  <c r="N377" i="15"/>
  <c r="N375" i="15" s="1"/>
  <c r="N322" i="15"/>
  <c r="N320" i="15" s="1"/>
  <c r="S282" i="15"/>
  <c r="L269" i="15"/>
  <c r="O269" i="15" s="1"/>
  <c r="L254" i="15"/>
  <c r="O254" i="15" s="1"/>
  <c r="Q192" i="15"/>
  <c r="T192" i="15" s="1"/>
  <c r="I93" i="15"/>
  <c r="K93" i="15" s="1"/>
  <c r="I82" i="15"/>
  <c r="K82" i="15" s="1"/>
  <c r="K778" i="15"/>
  <c r="S763" i="15"/>
  <c r="T763" i="15" s="1"/>
  <c r="Q762" i="15"/>
  <c r="Q760" i="15" s="1"/>
  <c r="T761" i="15"/>
  <c r="N760" i="15"/>
  <c r="M728" i="15"/>
  <c r="P728" i="15" s="1"/>
  <c r="S714" i="15"/>
  <c r="M616" i="15"/>
  <c r="P616" i="15" s="1"/>
  <c r="N578" i="15"/>
  <c r="N576" i="15" s="1"/>
  <c r="S576" i="15"/>
  <c r="N515" i="15"/>
  <c r="N513" i="15" s="1"/>
  <c r="O501" i="15"/>
  <c r="M495" i="15"/>
  <c r="M493" i="15" s="1"/>
  <c r="K441" i="15"/>
  <c r="K365" i="15"/>
  <c r="K368" i="15"/>
  <c r="L362" i="15"/>
  <c r="O362" i="15" s="1"/>
  <c r="M305" i="15"/>
  <c r="M303" i="15" s="1"/>
  <c r="R282" i="15"/>
  <c r="U282" i="15" s="1"/>
  <c r="P274" i="15"/>
  <c r="O271" i="15"/>
  <c r="L203" i="15"/>
  <c r="O203" i="15" s="1"/>
  <c r="L188" i="15"/>
  <c r="M120" i="15"/>
  <c r="P120" i="15" s="1"/>
  <c r="L96" i="15"/>
  <c r="L94" i="15" s="1"/>
  <c r="J456" i="15"/>
  <c r="K456" i="15" s="1"/>
  <c r="K457" i="15"/>
  <c r="Q160" i="15"/>
  <c r="T160" i="15" s="1"/>
  <c r="T162" i="15"/>
  <c r="Q159" i="15"/>
  <c r="T159" i="15" s="1"/>
  <c r="P323" i="13"/>
  <c r="Q395" i="14"/>
  <c r="T395" i="14" s="1"/>
  <c r="Q303" i="14"/>
  <c r="P178" i="14"/>
  <c r="K727" i="15"/>
  <c r="R714" i="15"/>
  <c r="U714" i="15" s="1"/>
  <c r="R644" i="15"/>
  <c r="U647" i="15"/>
  <c r="P607" i="15"/>
  <c r="M605" i="15"/>
  <c r="P605" i="15" s="1"/>
  <c r="M601" i="15"/>
  <c r="P560" i="15"/>
  <c r="M558" i="15"/>
  <c r="P558" i="15" s="1"/>
  <c r="P542" i="15"/>
  <c r="M540" i="15"/>
  <c r="P540" i="15" s="1"/>
  <c r="N415" i="15"/>
  <c r="N413" i="15" s="1"/>
  <c r="U393" i="15"/>
  <c r="M381" i="15"/>
  <c r="P381" i="15" s="1"/>
  <c r="P383" i="15"/>
  <c r="K330" i="15"/>
  <c r="I319" i="15"/>
  <c r="K319" i="15" s="1"/>
  <c r="L306" i="15"/>
  <c r="O308" i="15"/>
  <c r="T284" i="15"/>
  <c r="Q282" i="15"/>
  <c r="T282" i="15" s="1"/>
  <c r="Q173" i="15"/>
  <c r="T173" i="15" s="1"/>
  <c r="T174" i="15"/>
  <c r="N605" i="1"/>
  <c r="S645" i="15"/>
  <c r="S644" i="15"/>
  <c r="S642" i="15" s="1"/>
  <c r="O584" i="15"/>
  <c r="L582" i="15"/>
  <c r="O582" i="15" s="1"/>
  <c r="T731" i="13"/>
  <c r="O325" i="13"/>
  <c r="U695" i="14"/>
  <c r="R692" i="14"/>
  <c r="R690" i="14" s="1"/>
  <c r="U647" i="14"/>
  <c r="Q645" i="14"/>
  <c r="T645" i="14" s="1"/>
  <c r="R644" i="14"/>
  <c r="U644" i="14" s="1"/>
  <c r="T607" i="14"/>
  <c r="M515" i="14"/>
  <c r="P515" i="14" s="1"/>
  <c r="R306" i="14"/>
  <c r="U306" i="14" s="1"/>
  <c r="T99" i="14"/>
  <c r="L65" i="14"/>
  <c r="O65" i="14" s="1"/>
  <c r="L61" i="14"/>
  <c r="L59" i="14" s="1"/>
  <c r="T715" i="15"/>
  <c r="S693" i="15"/>
  <c r="S692" i="15"/>
  <c r="M642" i="15"/>
  <c r="P642" i="15" s="1"/>
  <c r="P643" i="15"/>
  <c r="S619" i="15"/>
  <c r="T619" i="15" s="1"/>
  <c r="O600" i="15"/>
  <c r="O560" i="15"/>
  <c r="L558" i="15"/>
  <c r="O558" i="15" s="1"/>
  <c r="S555" i="15"/>
  <c r="O542" i="15"/>
  <c r="L540" i="15"/>
  <c r="O540" i="15" s="1"/>
  <c r="L536" i="15"/>
  <c r="R513" i="15"/>
  <c r="U513" i="15" s="1"/>
  <c r="U514" i="15"/>
  <c r="K440" i="15"/>
  <c r="I423" i="15"/>
  <c r="M415" i="15"/>
  <c r="M413" i="15" s="1"/>
  <c r="P418" i="15"/>
  <c r="P376" i="15"/>
  <c r="R306" i="15"/>
  <c r="R305" i="15"/>
  <c r="U308" i="15"/>
  <c r="P283" i="15"/>
  <c r="L179" i="15"/>
  <c r="O179" i="15" s="1"/>
  <c r="O181" i="15"/>
  <c r="N26" i="15"/>
  <c r="N24" i="15" s="1"/>
  <c r="N65" i="15"/>
  <c r="P52" i="15"/>
  <c r="M26" i="15"/>
  <c r="P26" i="15" s="1"/>
  <c r="M50" i="15"/>
  <c r="P50" i="15" s="1"/>
  <c r="T415" i="15"/>
  <c r="Q413" i="15"/>
  <c r="T413" i="15" s="1"/>
  <c r="L326" i="15"/>
  <c r="O326" i="15" s="1"/>
  <c r="O328" i="15"/>
  <c r="U80" i="11"/>
  <c r="O178" i="12"/>
  <c r="Q495" i="13"/>
  <c r="Q493" i="13" s="1"/>
  <c r="L326" i="13"/>
  <c r="O326" i="13" s="1"/>
  <c r="Q730" i="14"/>
  <c r="Q728" i="14" s="1"/>
  <c r="T695" i="14"/>
  <c r="Q693" i="14"/>
  <c r="T693" i="14" s="1"/>
  <c r="T647" i="14"/>
  <c r="U604" i="14"/>
  <c r="T397" i="14"/>
  <c r="U308" i="14"/>
  <c r="T271" i="14"/>
  <c r="Q269" i="14"/>
  <c r="T269" i="14" s="1"/>
  <c r="L234" i="14"/>
  <c r="U194" i="14"/>
  <c r="S730" i="15"/>
  <c r="S728" i="15" s="1"/>
  <c r="P716" i="15"/>
  <c r="I689" i="15"/>
  <c r="K689" i="15" s="1"/>
  <c r="K707" i="15"/>
  <c r="O692" i="15"/>
  <c r="R645" i="15"/>
  <c r="U645" i="15" s="1"/>
  <c r="U600" i="15"/>
  <c r="U557" i="15"/>
  <c r="R555" i="15"/>
  <c r="U555" i="15" s="1"/>
  <c r="O521" i="15"/>
  <c r="L519" i="15"/>
  <c r="O519" i="15" s="1"/>
  <c r="U357" i="15"/>
  <c r="R356" i="15"/>
  <c r="U356" i="15" s="1"/>
  <c r="M339" i="15"/>
  <c r="P339" i="15" s="1"/>
  <c r="P341" i="15"/>
  <c r="Q303" i="15"/>
  <c r="L243" i="15"/>
  <c r="L233" i="15"/>
  <c r="O514" i="15"/>
  <c r="J701" i="13"/>
  <c r="L578" i="13"/>
  <c r="O578" i="13" s="1"/>
  <c r="R74" i="13"/>
  <c r="U74" i="13" s="1"/>
  <c r="K772" i="14"/>
  <c r="J674" i="14"/>
  <c r="T604" i="14"/>
  <c r="M519" i="14"/>
  <c r="P519" i="14" s="1"/>
  <c r="L192" i="14"/>
  <c r="O192" i="14" s="1"/>
  <c r="I138" i="14"/>
  <c r="K138" i="14" s="1"/>
  <c r="S762" i="15"/>
  <c r="S760" i="15" s="1"/>
  <c r="I759" i="15"/>
  <c r="K759" i="15" s="1"/>
  <c r="U733" i="15"/>
  <c r="T621" i="15"/>
  <c r="T600" i="15"/>
  <c r="P577" i="15"/>
  <c r="Q555" i="15"/>
  <c r="T555" i="15" s="1"/>
  <c r="T556" i="15"/>
  <c r="K492" i="15"/>
  <c r="P496" i="15"/>
  <c r="K485" i="15"/>
  <c r="K424" i="15"/>
  <c r="P416" i="15"/>
  <c r="Q356" i="15"/>
  <c r="T356" i="15" s="1"/>
  <c r="T357" i="15"/>
  <c r="L323" i="15"/>
  <c r="O323" i="15" s="1"/>
  <c r="O325" i="15"/>
  <c r="U194" i="15"/>
  <c r="R188" i="15"/>
  <c r="R192" i="15"/>
  <c r="U192" i="15" s="1"/>
  <c r="Q188" i="15"/>
  <c r="T191" i="15"/>
  <c r="Q189" i="15"/>
  <c r="T189" i="15" s="1"/>
  <c r="O158" i="15"/>
  <c r="S97" i="15"/>
  <c r="U99" i="15"/>
  <c r="S96" i="15"/>
  <c r="S94" i="15" s="1"/>
  <c r="T99" i="15"/>
  <c r="S269" i="1"/>
  <c r="M690" i="15"/>
  <c r="P690" i="15" s="1"/>
  <c r="P691" i="15"/>
  <c r="N601" i="15"/>
  <c r="N599" i="15" s="1"/>
  <c r="L578" i="15"/>
  <c r="P535" i="15"/>
  <c r="Q493" i="15"/>
  <c r="L392" i="15"/>
  <c r="O392" i="15" s="1"/>
  <c r="O393" i="15"/>
  <c r="J332" i="15"/>
  <c r="J343" i="15"/>
  <c r="K276" i="8"/>
  <c r="Q392" i="14"/>
  <c r="T392" i="14" s="1"/>
  <c r="K108" i="14"/>
  <c r="P64" i="14"/>
  <c r="T733" i="15"/>
  <c r="L714" i="15"/>
  <c r="O714" i="15" s="1"/>
  <c r="R616" i="15"/>
  <c r="U616" i="15" s="1"/>
  <c r="P604" i="15"/>
  <c r="M602" i="15"/>
  <c r="P602" i="15" s="1"/>
  <c r="S601" i="15"/>
  <c r="S599" i="15" s="1"/>
  <c r="P584" i="15"/>
  <c r="M582" i="15"/>
  <c r="P582" i="15" s="1"/>
  <c r="M557" i="15"/>
  <c r="P557" i="15" s="1"/>
  <c r="P514" i="15"/>
  <c r="T498" i="15"/>
  <c r="Q496" i="15"/>
  <c r="I332" i="15"/>
  <c r="K344" i="15"/>
  <c r="Q333" i="15"/>
  <c r="T333" i="15" s="1"/>
  <c r="T334" i="15"/>
  <c r="L322" i="15"/>
  <c r="P321" i="15"/>
  <c r="L305" i="15"/>
  <c r="U158" i="15"/>
  <c r="U122" i="15"/>
  <c r="R120" i="15"/>
  <c r="U120" i="15" s="1"/>
  <c r="R119" i="15"/>
  <c r="K630" i="15"/>
  <c r="K626" i="15"/>
  <c r="R601" i="15"/>
  <c r="U601" i="15" s="1"/>
  <c r="L601" i="15"/>
  <c r="O601" i="15" s="1"/>
  <c r="M515" i="15"/>
  <c r="P515" i="15" s="1"/>
  <c r="K503" i="15"/>
  <c r="U498" i="15"/>
  <c r="O498" i="15"/>
  <c r="O416" i="15"/>
  <c r="L415" i="15"/>
  <c r="L413" i="15" s="1"/>
  <c r="U380" i="15"/>
  <c r="P364" i="15"/>
  <c r="M358" i="15"/>
  <c r="K260" i="15"/>
  <c r="I253" i="15"/>
  <c r="K253" i="15" s="1"/>
  <c r="N160" i="15"/>
  <c r="N159" i="15"/>
  <c r="N157" i="15" s="1"/>
  <c r="K629" i="15"/>
  <c r="Q601" i="15"/>
  <c r="T601" i="15" s="1"/>
  <c r="M578" i="15"/>
  <c r="M536" i="15"/>
  <c r="P536" i="15" s="1"/>
  <c r="L515" i="15"/>
  <c r="O515" i="15" s="1"/>
  <c r="N495" i="15"/>
  <c r="S416" i="15"/>
  <c r="U416" i="15" s="1"/>
  <c r="L378" i="15"/>
  <c r="O378" i="15" s="1"/>
  <c r="M377" i="15"/>
  <c r="P377" i="15" s="1"/>
  <c r="J351" i="15"/>
  <c r="L236" i="15"/>
  <c r="Q176" i="15"/>
  <c r="T178" i="15"/>
  <c r="I172" i="15"/>
  <c r="K172" i="15" s="1"/>
  <c r="T140" i="15"/>
  <c r="P125" i="15"/>
  <c r="M123" i="15"/>
  <c r="P123" i="15" s="1"/>
  <c r="M119" i="15"/>
  <c r="P19" i="15"/>
  <c r="I615" i="15"/>
  <c r="K615" i="15" s="1"/>
  <c r="Q416" i="15"/>
  <c r="O361" i="15"/>
  <c r="N359" i="15"/>
  <c r="O359" i="15" s="1"/>
  <c r="L284" i="15"/>
  <c r="O287" i="15"/>
  <c r="U25" i="15"/>
  <c r="T695" i="15"/>
  <c r="T647" i="15"/>
  <c r="U621" i="15"/>
  <c r="M419" i="15"/>
  <c r="P419" i="15" s="1"/>
  <c r="O418" i="15"/>
  <c r="S377" i="15"/>
  <c r="I374" i="15"/>
  <c r="P328" i="15"/>
  <c r="M326" i="15"/>
  <c r="P326" i="15" s="1"/>
  <c r="P323" i="15"/>
  <c r="I238" i="15"/>
  <c r="K238" i="15" s="1"/>
  <c r="P102" i="15"/>
  <c r="M100" i="15"/>
  <c r="P100" i="15" s="1"/>
  <c r="P99" i="15"/>
  <c r="M97" i="15"/>
  <c r="P97" i="15" s="1"/>
  <c r="M96" i="15"/>
  <c r="M94" i="15" s="1"/>
  <c r="T380" i="15"/>
  <c r="O338" i="15"/>
  <c r="N306" i="15"/>
  <c r="K209" i="15"/>
  <c r="K198" i="15"/>
  <c r="O191" i="15"/>
  <c r="U178" i="15"/>
  <c r="M175" i="15"/>
  <c r="P165" i="15"/>
  <c r="M163" i="15"/>
  <c r="P163" i="15" s="1"/>
  <c r="T158" i="15"/>
  <c r="N141" i="15"/>
  <c r="N139" i="15" s="1"/>
  <c r="O125" i="15"/>
  <c r="L123" i="15"/>
  <c r="O123" i="15" s="1"/>
  <c r="L119" i="15"/>
  <c r="O119" i="15" s="1"/>
  <c r="T118" i="15"/>
  <c r="O52" i="15"/>
  <c r="L26" i="15"/>
  <c r="O26" i="15" s="1"/>
  <c r="L50" i="15"/>
  <c r="O50" i="15" s="1"/>
  <c r="N335" i="15"/>
  <c r="M322" i="15"/>
  <c r="N284" i="15"/>
  <c r="I221" i="15"/>
  <c r="K221" i="15" s="1"/>
  <c r="M176" i="15"/>
  <c r="P176" i="15" s="1"/>
  <c r="L175" i="15"/>
  <c r="O165" i="15"/>
  <c r="L163" i="15"/>
  <c r="O163" i="15" s="1"/>
  <c r="O162" i="15"/>
  <c r="L160" i="15"/>
  <c r="L141" i="15"/>
  <c r="O141" i="15" s="1"/>
  <c r="U22" i="15"/>
  <c r="S142" i="15"/>
  <c r="T142" i="15" s="1"/>
  <c r="S141" i="15"/>
  <c r="T144" i="15"/>
  <c r="O142" i="15"/>
  <c r="O140" i="15"/>
  <c r="U125" i="15"/>
  <c r="R123" i="15"/>
  <c r="U123" i="15" s="1"/>
  <c r="U95" i="15"/>
  <c r="P45" i="15"/>
  <c r="O19" i="15"/>
  <c r="U283" i="15"/>
  <c r="N268" i="15"/>
  <c r="N266" i="15" s="1"/>
  <c r="S176" i="15"/>
  <c r="U176" i="15" s="1"/>
  <c r="R175" i="15"/>
  <c r="U175" i="15" s="1"/>
  <c r="U174" i="15"/>
  <c r="U147" i="15"/>
  <c r="P147" i="15"/>
  <c r="M145" i="15"/>
  <c r="P145" i="15" s="1"/>
  <c r="T125" i="15"/>
  <c r="Q123" i="15"/>
  <c r="T123" i="15" s="1"/>
  <c r="N100" i="15"/>
  <c r="N96" i="15"/>
  <c r="S26" i="15"/>
  <c r="S24" i="15" s="1"/>
  <c r="R19" i="15"/>
  <c r="U162" i="15"/>
  <c r="R160" i="15"/>
  <c r="U160" i="15" s="1"/>
  <c r="R159" i="15"/>
  <c r="U159" i="15" s="1"/>
  <c r="O147" i="15"/>
  <c r="O122" i="15"/>
  <c r="L120" i="15"/>
  <c r="O120" i="15" s="1"/>
  <c r="R26" i="15"/>
  <c r="U26" i="15" s="1"/>
  <c r="P67" i="15"/>
  <c r="M65" i="15"/>
  <c r="P65" i="15" s="1"/>
  <c r="N61" i="15"/>
  <c r="Q26" i="15"/>
  <c r="T80" i="15"/>
  <c r="Q78" i="15"/>
  <c r="T78" i="15" s="1"/>
  <c r="Q74" i="15"/>
  <c r="O67" i="15"/>
  <c r="L65" i="15"/>
  <c r="O65" i="15" s="1"/>
  <c r="P25" i="15"/>
  <c r="P95" i="15"/>
  <c r="Q23" i="15"/>
  <c r="T77" i="15"/>
  <c r="Q75" i="15"/>
  <c r="L61" i="15"/>
  <c r="P60" i="15"/>
  <c r="O25" i="15"/>
  <c r="N23" i="15"/>
  <c r="P22" i="15"/>
  <c r="P162" i="15"/>
  <c r="M160" i="15"/>
  <c r="M159" i="15"/>
  <c r="P144" i="15"/>
  <c r="M142" i="15"/>
  <c r="P142" i="15" s="1"/>
  <c r="U140" i="15"/>
  <c r="T122" i="15"/>
  <c r="Q120" i="15"/>
  <c r="T120" i="15" s="1"/>
  <c r="O95" i="15"/>
  <c r="O22" i="15"/>
  <c r="Q141" i="15"/>
  <c r="Q139" i="15" s="1"/>
  <c r="S23" i="15"/>
  <c r="M23" i="15"/>
  <c r="M21" i="15" s="1"/>
  <c r="K85" i="15"/>
  <c r="M46" i="15"/>
  <c r="R23" i="15"/>
  <c r="R21" i="15" s="1"/>
  <c r="L23" i="15"/>
  <c r="L21" i="15" s="1"/>
  <c r="Q714" i="14"/>
  <c r="T714" i="14" s="1"/>
  <c r="L601" i="14"/>
  <c r="O601" i="14" s="1"/>
  <c r="O604" i="14"/>
  <c r="L602" i="14"/>
  <c r="O602" i="14" s="1"/>
  <c r="L561" i="14"/>
  <c r="O561" i="14" s="1"/>
  <c r="O563" i="14"/>
  <c r="I492" i="14"/>
  <c r="K492" i="14" s="1"/>
  <c r="K503" i="14"/>
  <c r="L495" i="14"/>
  <c r="O495" i="14" s="1"/>
  <c r="L496" i="14"/>
  <c r="O496" i="14" s="1"/>
  <c r="O498" i="14"/>
  <c r="Q377" i="14"/>
  <c r="Q375" i="14" s="1"/>
  <c r="T380" i="14"/>
  <c r="M306" i="14"/>
  <c r="P306" i="14" s="1"/>
  <c r="P308" i="14"/>
  <c r="I265" i="14"/>
  <c r="K265" i="14" s="1"/>
  <c r="K276" i="14"/>
  <c r="M268" i="14"/>
  <c r="M266" i="14" s="1"/>
  <c r="M269" i="14"/>
  <c r="N159" i="14"/>
  <c r="N157" i="14" s="1"/>
  <c r="N160" i="14"/>
  <c r="R141" i="14"/>
  <c r="U141" i="14" s="1"/>
  <c r="U144" i="14"/>
  <c r="Q123" i="14"/>
  <c r="T123" i="14" s="1"/>
  <c r="T125" i="14"/>
  <c r="R74" i="1"/>
  <c r="R72" i="1" s="1"/>
  <c r="U144" i="13"/>
  <c r="L119" i="13"/>
  <c r="O119" i="13" s="1"/>
  <c r="R762" i="14"/>
  <c r="U762" i="14" s="1"/>
  <c r="L760" i="14"/>
  <c r="O760" i="14" s="1"/>
  <c r="L714" i="14"/>
  <c r="O714" i="14" s="1"/>
  <c r="M616" i="14"/>
  <c r="P616" i="14" s="1"/>
  <c r="L557" i="14"/>
  <c r="O557" i="14" s="1"/>
  <c r="M326" i="14"/>
  <c r="P326" i="14" s="1"/>
  <c r="P328" i="14"/>
  <c r="N284" i="14"/>
  <c r="N282" i="14" s="1"/>
  <c r="N285" i="14"/>
  <c r="L269" i="14"/>
  <c r="O271" i="14"/>
  <c r="N119" i="14"/>
  <c r="N117" i="14" s="1"/>
  <c r="N120" i="14"/>
  <c r="S96" i="14"/>
  <c r="S94" i="14" s="1"/>
  <c r="S97" i="14"/>
  <c r="T97" i="14" s="1"/>
  <c r="N578" i="13"/>
  <c r="N576" i="13" s="1"/>
  <c r="U498" i="13"/>
  <c r="K346" i="13"/>
  <c r="O341" i="13"/>
  <c r="M339" i="13"/>
  <c r="P339" i="13" s="1"/>
  <c r="P62" i="13"/>
  <c r="K781" i="14"/>
  <c r="Q762" i="14"/>
  <c r="T762" i="14" s="1"/>
  <c r="M642" i="14"/>
  <c r="P642" i="14" s="1"/>
  <c r="Q576" i="14"/>
  <c r="T576" i="14" s="1"/>
  <c r="T577" i="14"/>
  <c r="J503" i="14"/>
  <c r="J492" i="14" s="1"/>
  <c r="R495" i="14"/>
  <c r="U495" i="14" s="1"/>
  <c r="U498" i="14"/>
  <c r="S493" i="14"/>
  <c r="O383" i="14"/>
  <c r="L381" i="14"/>
  <c r="O381" i="14" s="1"/>
  <c r="Q378" i="14"/>
  <c r="K369" i="14"/>
  <c r="M285" i="14"/>
  <c r="P285" i="14" s="1"/>
  <c r="P287" i="14"/>
  <c r="S268" i="14"/>
  <c r="T268" i="14" s="1"/>
  <c r="U271" i="14"/>
  <c r="K221" i="14"/>
  <c r="K154" i="14"/>
  <c r="M119" i="14"/>
  <c r="P119" i="14" s="1"/>
  <c r="P122" i="14"/>
  <c r="M100" i="14"/>
  <c r="P100" i="14" s="1"/>
  <c r="P102" i="14"/>
  <c r="O191" i="12"/>
  <c r="K344" i="13"/>
  <c r="Q306" i="13"/>
  <c r="K293" i="13"/>
  <c r="P165" i="13"/>
  <c r="L61" i="13"/>
  <c r="L59" i="13" s="1"/>
  <c r="R763" i="14"/>
  <c r="U763" i="14" s="1"/>
  <c r="N728" i="14"/>
  <c r="I701" i="14"/>
  <c r="L690" i="14"/>
  <c r="O690" i="14" s="1"/>
  <c r="Q642" i="14"/>
  <c r="T642" i="14" s="1"/>
  <c r="S619" i="14"/>
  <c r="T619" i="14" s="1"/>
  <c r="S618" i="14"/>
  <c r="U618" i="14" s="1"/>
  <c r="P341" i="14"/>
  <c r="M339" i="14"/>
  <c r="P339" i="14" s="1"/>
  <c r="M322" i="14"/>
  <c r="P322" i="14" s="1"/>
  <c r="R142" i="14"/>
  <c r="U142" i="14" s="1"/>
  <c r="L50" i="14"/>
  <c r="O50" i="14" s="1"/>
  <c r="O52" i="14"/>
  <c r="P607" i="12"/>
  <c r="L540" i="12"/>
  <c r="O540" i="12" s="1"/>
  <c r="J343" i="13"/>
  <c r="S714" i="14"/>
  <c r="U693" i="14"/>
  <c r="Q690" i="14"/>
  <c r="O643" i="14"/>
  <c r="M499" i="14"/>
  <c r="P499" i="14" s="1"/>
  <c r="P501" i="14"/>
  <c r="S395" i="14"/>
  <c r="S394" i="14"/>
  <c r="S392" i="14" s="1"/>
  <c r="M362" i="14"/>
  <c r="P362" i="14" s="1"/>
  <c r="P364" i="14"/>
  <c r="L322" i="14"/>
  <c r="O322" i="14" s="1"/>
  <c r="L323" i="14"/>
  <c r="O323" i="14" s="1"/>
  <c r="O325" i="14"/>
  <c r="M309" i="14"/>
  <c r="P309" i="14" s="1"/>
  <c r="P311" i="14"/>
  <c r="S282" i="14"/>
  <c r="M272" i="14"/>
  <c r="P272" i="14" s="1"/>
  <c r="P274" i="14"/>
  <c r="Q175" i="14"/>
  <c r="T175" i="14" s="1"/>
  <c r="Q176" i="14"/>
  <c r="T176" i="14" s="1"/>
  <c r="T178" i="14"/>
  <c r="L141" i="14"/>
  <c r="O141" i="14" s="1"/>
  <c r="O144" i="14"/>
  <c r="L142" i="14"/>
  <c r="O142" i="14" s="1"/>
  <c r="M75" i="14"/>
  <c r="P75" i="14" s="1"/>
  <c r="P77" i="14"/>
  <c r="R59" i="14"/>
  <c r="U59" i="14" s="1"/>
  <c r="K440" i="10"/>
  <c r="N159" i="10"/>
  <c r="N157" i="10" s="1"/>
  <c r="P77" i="10"/>
  <c r="U77" i="11"/>
  <c r="K785" i="13"/>
  <c r="K779" i="13"/>
  <c r="S645" i="13"/>
  <c r="L222" i="13"/>
  <c r="O222" i="13" s="1"/>
  <c r="K220" i="13"/>
  <c r="N119" i="13"/>
  <c r="N117" i="13" s="1"/>
  <c r="T765" i="14"/>
  <c r="J702" i="14"/>
  <c r="N642" i="14"/>
  <c r="N616" i="14"/>
  <c r="M561" i="14"/>
  <c r="P561" i="14" s="1"/>
  <c r="P563" i="14"/>
  <c r="Q534" i="14"/>
  <c r="T534" i="14" s="1"/>
  <c r="T535" i="14"/>
  <c r="L499" i="14"/>
  <c r="O499" i="14" s="1"/>
  <c r="O501" i="14"/>
  <c r="M495" i="14"/>
  <c r="P495" i="14" s="1"/>
  <c r="M496" i="14"/>
  <c r="P496" i="14" s="1"/>
  <c r="P498" i="14"/>
  <c r="S496" i="14"/>
  <c r="R394" i="14"/>
  <c r="R392" i="14" s="1"/>
  <c r="U392" i="14" s="1"/>
  <c r="R395" i="14"/>
  <c r="U395" i="14" s="1"/>
  <c r="U397" i="14"/>
  <c r="R377" i="14"/>
  <c r="U377" i="14" s="1"/>
  <c r="R378" i="14"/>
  <c r="U378" i="14" s="1"/>
  <c r="U380" i="14"/>
  <c r="O376" i="14"/>
  <c r="L362" i="14"/>
  <c r="O362" i="14" s="1"/>
  <c r="O364" i="14"/>
  <c r="N305" i="14"/>
  <c r="N303" i="14" s="1"/>
  <c r="N306" i="14"/>
  <c r="L272" i="14"/>
  <c r="O272" i="14" s="1"/>
  <c r="O274" i="14"/>
  <c r="T194" i="14"/>
  <c r="Q192" i="14"/>
  <c r="T192" i="14" s="1"/>
  <c r="L75" i="14"/>
  <c r="O75" i="14" s="1"/>
  <c r="R601" i="14"/>
  <c r="U601" i="14" s="1"/>
  <c r="O581" i="14"/>
  <c r="N578" i="14"/>
  <c r="N576" i="14" s="1"/>
  <c r="L558" i="14"/>
  <c r="O558" i="14" s="1"/>
  <c r="O539" i="14"/>
  <c r="N415" i="14"/>
  <c r="N413" i="14" s="1"/>
  <c r="J374" i="14"/>
  <c r="P383" i="14"/>
  <c r="O380" i="14"/>
  <c r="M378" i="14"/>
  <c r="P378" i="14" s="1"/>
  <c r="N358" i="14"/>
  <c r="N356" i="14" s="1"/>
  <c r="L305" i="14"/>
  <c r="L303" i="14" s="1"/>
  <c r="O303" i="14" s="1"/>
  <c r="Q306" i="14"/>
  <c r="T306" i="14" s="1"/>
  <c r="U269" i="14"/>
  <c r="J231" i="14"/>
  <c r="J185" i="14" s="1"/>
  <c r="L222" i="14"/>
  <c r="O222" i="14" s="1"/>
  <c r="L214" i="14"/>
  <c r="O214" i="14" s="1"/>
  <c r="I195" i="14"/>
  <c r="K195" i="14" s="1"/>
  <c r="U191" i="14"/>
  <c r="K169" i="14"/>
  <c r="P165" i="14"/>
  <c r="M159" i="14"/>
  <c r="P159" i="14" s="1"/>
  <c r="I137" i="14"/>
  <c r="K137" i="14" s="1"/>
  <c r="P125" i="14"/>
  <c r="S119" i="14"/>
  <c r="S117" i="14" s="1"/>
  <c r="U99" i="14"/>
  <c r="P80" i="14"/>
  <c r="R74" i="14"/>
  <c r="U74" i="14" s="1"/>
  <c r="Q59" i="14"/>
  <c r="T59" i="14" s="1"/>
  <c r="P49" i="14"/>
  <c r="S44" i="14"/>
  <c r="R44" i="14"/>
  <c r="U44" i="14" s="1"/>
  <c r="Q601" i="14"/>
  <c r="T601" i="14" s="1"/>
  <c r="M557" i="14"/>
  <c r="M555" i="14" s="1"/>
  <c r="P555" i="14" s="1"/>
  <c r="N516" i="14"/>
  <c r="R416" i="14"/>
  <c r="I374" i="14"/>
  <c r="M358" i="14"/>
  <c r="M356" i="14" s="1"/>
  <c r="L203" i="14"/>
  <c r="O203" i="14" s="1"/>
  <c r="N175" i="14"/>
  <c r="N173" i="14" s="1"/>
  <c r="K116" i="14"/>
  <c r="Q74" i="14"/>
  <c r="T74" i="14" s="1"/>
  <c r="N19" i="14"/>
  <c r="R619" i="14"/>
  <c r="R616" i="14"/>
  <c r="L582" i="14"/>
  <c r="O582" i="14" s="1"/>
  <c r="S534" i="14"/>
  <c r="J457" i="14"/>
  <c r="K457" i="14" s="1"/>
  <c r="N416" i="14"/>
  <c r="M335" i="14"/>
  <c r="M333" i="14" s="1"/>
  <c r="L306" i="14"/>
  <c r="O306" i="14" s="1"/>
  <c r="I280" i="14"/>
  <c r="K280" i="14" s="1"/>
  <c r="T203" i="14"/>
  <c r="M175" i="14"/>
  <c r="M173" i="14" s="1"/>
  <c r="N141" i="14"/>
  <c r="N139" i="14" s="1"/>
  <c r="Q119" i="14"/>
  <c r="K109" i="14"/>
  <c r="P47" i="14"/>
  <c r="Q44" i="14"/>
  <c r="T44" i="14" s="1"/>
  <c r="L616" i="14"/>
  <c r="O616" i="14" s="1"/>
  <c r="L578" i="14"/>
  <c r="Q555" i="14"/>
  <c r="T555" i="14" s="1"/>
  <c r="S513" i="14"/>
  <c r="L377" i="14"/>
  <c r="O377" i="14" s="1"/>
  <c r="J351" i="14"/>
  <c r="O311" i="14"/>
  <c r="O308" i="14"/>
  <c r="O287" i="14"/>
  <c r="L243" i="14"/>
  <c r="O243" i="14" s="1"/>
  <c r="T191" i="14"/>
  <c r="K93" i="14"/>
  <c r="M96" i="14"/>
  <c r="M94" i="14" s="1"/>
  <c r="L78" i="14"/>
  <c r="O78" i="14" s="1"/>
  <c r="L46" i="14"/>
  <c r="L44" i="14" s="1"/>
  <c r="K369" i="11"/>
  <c r="K784" i="13"/>
  <c r="K781" i="13"/>
  <c r="K778" i="13"/>
  <c r="Q394" i="13"/>
  <c r="T394" i="13" s="1"/>
  <c r="Q395" i="13"/>
  <c r="T395" i="13" s="1"/>
  <c r="N65" i="13"/>
  <c r="O65" i="13" s="1"/>
  <c r="O67" i="13"/>
  <c r="K774" i="14"/>
  <c r="I759" i="14"/>
  <c r="K759" i="14" s="1"/>
  <c r="K709" i="14"/>
  <c r="K629" i="14"/>
  <c r="K626" i="14"/>
  <c r="K630" i="14"/>
  <c r="K631" i="14"/>
  <c r="I615" i="14"/>
  <c r="K615" i="14" s="1"/>
  <c r="M419" i="14"/>
  <c r="P419" i="14" s="1"/>
  <c r="M415" i="14"/>
  <c r="N378" i="14"/>
  <c r="N377" i="14"/>
  <c r="N375" i="14" s="1"/>
  <c r="Q356" i="14"/>
  <c r="T356" i="14" s="1"/>
  <c r="T358" i="14"/>
  <c r="N323" i="14"/>
  <c r="N322" i="14"/>
  <c r="N320" i="14" s="1"/>
  <c r="O321" i="14"/>
  <c r="I253" i="14"/>
  <c r="K253" i="14" s="1"/>
  <c r="K260" i="14"/>
  <c r="S232" i="1"/>
  <c r="O518" i="11"/>
  <c r="Q416" i="11"/>
  <c r="T416" i="11" s="1"/>
  <c r="O122" i="11"/>
  <c r="K705" i="12"/>
  <c r="J702" i="13"/>
  <c r="R692" i="13"/>
  <c r="R690" i="13" s="1"/>
  <c r="S619" i="13"/>
  <c r="U619" i="13" s="1"/>
  <c r="S616" i="13"/>
  <c r="N601" i="13"/>
  <c r="N599" i="13" s="1"/>
  <c r="J374" i="13"/>
  <c r="P325" i="13"/>
  <c r="I238" i="13"/>
  <c r="K238" i="13" s="1"/>
  <c r="R175" i="13"/>
  <c r="U175" i="13" s="1"/>
  <c r="P162" i="13"/>
  <c r="R145" i="13"/>
  <c r="U145" i="13" s="1"/>
  <c r="N141" i="13"/>
  <c r="N139" i="13" s="1"/>
  <c r="M602" i="14"/>
  <c r="P602" i="14" s="1"/>
  <c r="P604" i="14"/>
  <c r="N601" i="14"/>
  <c r="N599" i="14" s="1"/>
  <c r="P600" i="14"/>
  <c r="N537" i="14"/>
  <c r="N536" i="14"/>
  <c r="N534" i="14" s="1"/>
  <c r="U494" i="14"/>
  <c r="O421" i="14"/>
  <c r="L419" i="14"/>
  <c r="O419" i="14" s="1"/>
  <c r="Q266" i="14"/>
  <c r="L232" i="1"/>
  <c r="O232" i="1" s="1"/>
  <c r="O308" i="12"/>
  <c r="Q763" i="13"/>
  <c r="T763" i="13" s="1"/>
  <c r="T647" i="13"/>
  <c r="Q619" i="13"/>
  <c r="R618" i="13"/>
  <c r="U618" i="13" s="1"/>
  <c r="O602" i="13"/>
  <c r="L582" i="13"/>
  <c r="O582" i="13" s="1"/>
  <c r="P563" i="13"/>
  <c r="P542" i="13"/>
  <c r="L540" i="13"/>
  <c r="O540" i="13" s="1"/>
  <c r="R416" i="13"/>
  <c r="O380" i="13"/>
  <c r="K368" i="13"/>
  <c r="P364" i="13"/>
  <c r="K314" i="13"/>
  <c r="U125" i="13"/>
  <c r="R123" i="13"/>
  <c r="U123" i="13" s="1"/>
  <c r="K784" i="14"/>
  <c r="K778" i="14"/>
  <c r="M728" i="14"/>
  <c r="P728" i="14" s="1"/>
  <c r="P729" i="14"/>
  <c r="M714" i="14"/>
  <c r="P714" i="14" s="1"/>
  <c r="P715" i="14"/>
  <c r="S602" i="14"/>
  <c r="S601" i="14"/>
  <c r="S599" i="14" s="1"/>
  <c r="M601" i="14"/>
  <c r="P601" i="14" s="1"/>
  <c r="P584" i="14"/>
  <c r="M582" i="14"/>
  <c r="P582" i="14" s="1"/>
  <c r="M578" i="14"/>
  <c r="P578" i="14" s="1"/>
  <c r="P577" i="14"/>
  <c r="R555" i="14"/>
  <c r="U555" i="14" s="1"/>
  <c r="M536" i="14"/>
  <c r="P536" i="14" s="1"/>
  <c r="P542" i="14"/>
  <c r="M540" i="14"/>
  <c r="P540" i="14" s="1"/>
  <c r="L519" i="14"/>
  <c r="O519" i="14" s="1"/>
  <c r="O521" i="14"/>
  <c r="K506" i="14"/>
  <c r="K423" i="14"/>
  <c r="I412" i="14"/>
  <c r="K412" i="14" s="1"/>
  <c r="S378" i="14"/>
  <c r="S377" i="14"/>
  <c r="M377" i="14"/>
  <c r="P377" i="14" s="1"/>
  <c r="K365" i="14"/>
  <c r="N359" i="14"/>
  <c r="P359" i="14" s="1"/>
  <c r="Q496" i="14"/>
  <c r="T496" i="14" s="1"/>
  <c r="P325" i="11"/>
  <c r="U178" i="12"/>
  <c r="U99" i="12"/>
  <c r="U621" i="13"/>
  <c r="U607" i="13"/>
  <c r="M519" i="13"/>
  <c r="P519" i="13" s="1"/>
  <c r="P521" i="13"/>
  <c r="O501" i="13"/>
  <c r="O421" i="13"/>
  <c r="N335" i="13"/>
  <c r="N333" i="13" s="1"/>
  <c r="I253" i="13"/>
  <c r="K253" i="13" s="1"/>
  <c r="K260" i="13"/>
  <c r="R159" i="13"/>
  <c r="Q123" i="13"/>
  <c r="T123" i="13" s="1"/>
  <c r="T125" i="13"/>
  <c r="S763" i="14"/>
  <c r="O542" i="14"/>
  <c r="L540" i="14"/>
  <c r="O540" i="14" s="1"/>
  <c r="Q495" i="14"/>
  <c r="R730" i="14"/>
  <c r="U733" i="14"/>
  <c r="K781" i="12"/>
  <c r="P181" i="12"/>
  <c r="P80" i="12"/>
  <c r="I701" i="13"/>
  <c r="Q644" i="13"/>
  <c r="T644" i="13" s="1"/>
  <c r="T621" i="13"/>
  <c r="N579" i="13"/>
  <c r="L495" i="13"/>
  <c r="L493" i="13" s="1"/>
  <c r="L214" i="13"/>
  <c r="O214" i="13" s="1"/>
  <c r="K209" i="13"/>
  <c r="L203" i="13"/>
  <c r="O203" i="13" s="1"/>
  <c r="K152" i="13"/>
  <c r="R141" i="13"/>
  <c r="R139" i="13" s="1"/>
  <c r="M100" i="13"/>
  <c r="P100" i="13" s="1"/>
  <c r="P102" i="13"/>
  <c r="M47" i="13"/>
  <c r="P47" i="13" s="1"/>
  <c r="P49" i="13"/>
  <c r="K780" i="14"/>
  <c r="S731" i="14"/>
  <c r="U731" i="14" s="1"/>
  <c r="T733" i="14"/>
  <c r="S730" i="14"/>
  <c r="S728" i="14" s="1"/>
  <c r="I689" i="14"/>
  <c r="K689" i="14" s="1"/>
  <c r="K707" i="14"/>
  <c r="T617" i="14"/>
  <c r="J456" i="14"/>
  <c r="L392" i="14"/>
  <c r="O392" i="14" s="1"/>
  <c r="O418" i="13"/>
  <c r="R413" i="13"/>
  <c r="M284" i="13"/>
  <c r="P284" i="13" s="1"/>
  <c r="R188" i="13"/>
  <c r="T144" i="13"/>
  <c r="L50" i="13"/>
  <c r="O50" i="13" s="1"/>
  <c r="L46" i="13"/>
  <c r="L44" i="13" s="1"/>
  <c r="T691" i="14"/>
  <c r="T643" i="14"/>
  <c r="T621" i="14"/>
  <c r="Q618" i="14"/>
  <c r="U617" i="14"/>
  <c r="P607" i="14"/>
  <c r="T600" i="14"/>
  <c r="S576" i="14"/>
  <c r="N557" i="14"/>
  <c r="N555" i="14" s="1"/>
  <c r="R534" i="14"/>
  <c r="U534" i="14" s="1"/>
  <c r="O518" i="14"/>
  <c r="L515" i="14"/>
  <c r="O515" i="14" s="1"/>
  <c r="K456" i="14"/>
  <c r="M416" i="14"/>
  <c r="Q413" i="14"/>
  <c r="T413" i="14" s="1"/>
  <c r="T393" i="14"/>
  <c r="K386" i="14"/>
  <c r="P376" i="14"/>
  <c r="K371" i="14"/>
  <c r="L359" i="14"/>
  <c r="O361" i="14"/>
  <c r="L358" i="14"/>
  <c r="P283" i="14"/>
  <c r="Q119" i="13"/>
  <c r="Q117" i="13" s="1"/>
  <c r="K705" i="14"/>
  <c r="R576" i="14"/>
  <c r="U576" i="14" s="1"/>
  <c r="L536" i="14"/>
  <c r="O514" i="14"/>
  <c r="N495" i="14"/>
  <c r="N493" i="14" s="1"/>
  <c r="L416" i="14"/>
  <c r="L415" i="14"/>
  <c r="P394" i="14"/>
  <c r="O357" i="14"/>
  <c r="J332" i="14"/>
  <c r="P290" i="14"/>
  <c r="M288" i="14"/>
  <c r="P288" i="14" s="1"/>
  <c r="M558" i="14"/>
  <c r="P558" i="14" s="1"/>
  <c r="P518" i="14"/>
  <c r="M516" i="14"/>
  <c r="P516" i="14" s="1"/>
  <c r="R513" i="14"/>
  <c r="U513" i="14" s="1"/>
  <c r="U514" i="14"/>
  <c r="U418" i="14"/>
  <c r="S416" i="14"/>
  <c r="R356" i="14"/>
  <c r="U356" i="14" s="1"/>
  <c r="U357" i="14"/>
  <c r="P99" i="14"/>
  <c r="N97" i="14"/>
  <c r="P97" i="14" s="1"/>
  <c r="N96" i="14"/>
  <c r="N94" i="14" s="1"/>
  <c r="P67" i="14"/>
  <c r="M65" i="14"/>
  <c r="P65" i="14" s="1"/>
  <c r="P535" i="14"/>
  <c r="T418" i="14"/>
  <c r="Q416" i="14"/>
  <c r="U415" i="14"/>
  <c r="R413" i="14"/>
  <c r="U413" i="14" s="1"/>
  <c r="O341" i="14"/>
  <c r="L339" i="14"/>
  <c r="O339" i="14" s="1"/>
  <c r="S142" i="14"/>
  <c r="S141" i="14"/>
  <c r="S139" i="14" s="1"/>
  <c r="P338" i="14"/>
  <c r="N336" i="14"/>
  <c r="P336" i="14" s="1"/>
  <c r="N335" i="14"/>
  <c r="N333" i="14" s="1"/>
  <c r="P334" i="14"/>
  <c r="R320" i="14"/>
  <c r="U320" i="14" s="1"/>
  <c r="U321" i="14"/>
  <c r="P304" i="14"/>
  <c r="O290" i="14"/>
  <c r="L288" i="14"/>
  <c r="O288" i="14" s="1"/>
  <c r="L284" i="14"/>
  <c r="U267" i="14"/>
  <c r="P147" i="14"/>
  <c r="M145" i="14"/>
  <c r="P145" i="14" s="1"/>
  <c r="M141" i="14"/>
  <c r="S19" i="14"/>
  <c r="K346" i="14"/>
  <c r="O334" i="14"/>
  <c r="Q320" i="14"/>
  <c r="T320" i="14" s="1"/>
  <c r="T321" i="14"/>
  <c r="K292" i="14"/>
  <c r="I281" i="14"/>
  <c r="K281" i="14" s="1"/>
  <c r="P271" i="14"/>
  <c r="N269" i="14"/>
  <c r="S157" i="14"/>
  <c r="R26" i="14"/>
  <c r="U26" i="14" s="1"/>
  <c r="L233" i="14"/>
  <c r="O162" i="14"/>
  <c r="L160" i="14"/>
  <c r="O160" i="14" s="1"/>
  <c r="L159" i="14"/>
  <c r="O122" i="14"/>
  <c r="L120" i="14"/>
  <c r="O120" i="14" s="1"/>
  <c r="L119" i="14"/>
  <c r="K84" i="14"/>
  <c r="I82" i="14"/>
  <c r="I332" i="14"/>
  <c r="K344" i="14"/>
  <c r="R333" i="14"/>
  <c r="U333" i="14" s="1"/>
  <c r="U334" i="14"/>
  <c r="P325" i="14"/>
  <c r="M323" i="14"/>
  <c r="P323" i="14" s="1"/>
  <c r="P267" i="14"/>
  <c r="I213" i="14"/>
  <c r="K213" i="14" s="1"/>
  <c r="K220" i="14"/>
  <c r="S173" i="14"/>
  <c r="U122" i="14"/>
  <c r="R120" i="14"/>
  <c r="R119" i="14"/>
  <c r="O95" i="14"/>
  <c r="O267" i="14"/>
  <c r="I238" i="14"/>
  <c r="K238" i="14" s="1"/>
  <c r="O181" i="14"/>
  <c r="L179" i="14"/>
  <c r="O179" i="14" s="1"/>
  <c r="O178" i="14"/>
  <c r="L176" i="14"/>
  <c r="O176" i="14" s="1"/>
  <c r="L175" i="14"/>
  <c r="P361" i="14"/>
  <c r="K314" i="14"/>
  <c r="T308" i="14"/>
  <c r="K249" i="14"/>
  <c r="I242" i="14"/>
  <c r="N188" i="14"/>
  <c r="N186" i="14" s="1"/>
  <c r="R188" i="14"/>
  <c r="R186" i="14" s="1"/>
  <c r="U178" i="14"/>
  <c r="R176" i="14"/>
  <c r="U176" i="14" s="1"/>
  <c r="U162" i="14"/>
  <c r="R160" i="14"/>
  <c r="U160" i="14" s="1"/>
  <c r="T140" i="14"/>
  <c r="O99" i="14"/>
  <c r="U95" i="14"/>
  <c r="Q26" i="14"/>
  <c r="L26" i="14"/>
  <c r="O26" i="14" s="1"/>
  <c r="L335" i="14"/>
  <c r="S305" i="14"/>
  <c r="U305" i="14" s="1"/>
  <c r="M305" i="14"/>
  <c r="P305" i="14" s="1"/>
  <c r="M284" i="14"/>
  <c r="P284" i="14" s="1"/>
  <c r="R268" i="14"/>
  <c r="L268" i="14"/>
  <c r="K229" i="14"/>
  <c r="S189" i="14"/>
  <c r="U189" i="14" s="1"/>
  <c r="S188" i="14"/>
  <c r="S186" i="14" s="1"/>
  <c r="M189" i="14"/>
  <c r="P189" i="14" s="1"/>
  <c r="M188" i="14"/>
  <c r="M186" i="14" s="1"/>
  <c r="P187" i="14"/>
  <c r="U175" i="14"/>
  <c r="R173" i="14"/>
  <c r="U173" i="14" s="1"/>
  <c r="O165" i="14"/>
  <c r="L163" i="14"/>
  <c r="O163" i="14" s="1"/>
  <c r="U159" i="14"/>
  <c r="R157" i="14"/>
  <c r="U157" i="14" s="1"/>
  <c r="O125" i="14"/>
  <c r="L123" i="14"/>
  <c r="O123" i="14" s="1"/>
  <c r="K87" i="14"/>
  <c r="I83" i="14"/>
  <c r="O62" i="14"/>
  <c r="L189" i="14"/>
  <c r="O189" i="14" s="1"/>
  <c r="L188" i="14"/>
  <c r="L186" i="14" s="1"/>
  <c r="U125" i="14"/>
  <c r="R123" i="14"/>
  <c r="U123" i="14" s="1"/>
  <c r="N26" i="14"/>
  <c r="N24" i="14" s="1"/>
  <c r="P22" i="14"/>
  <c r="M19" i="14"/>
  <c r="Q188" i="14"/>
  <c r="Q189" i="14"/>
  <c r="P144" i="14"/>
  <c r="M142" i="14"/>
  <c r="P142" i="14" s="1"/>
  <c r="P62" i="14"/>
  <c r="P52" i="14"/>
  <c r="M26" i="14"/>
  <c r="P26" i="14" s="1"/>
  <c r="M50" i="14"/>
  <c r="P50" i="14" s="1"/>
  <c r="P25" i="14"/>
  <c r="M179" i="14"/>
  <c r="P179" i="14" s="1"/>
  <c r="S176" i="14"/>
  <c r="M176" i="14"/>
  <c r="P176" i="14" s="1"/>
  <c r="S160" i="14"/>
  <c r="M160" i="14"/>
  <c r="P160" i="14" s="1"/>
  <c r="Q159" i="14"/>
  <c r="N142" i="14"/>
  <c r="K127" i="14"/>
  <c r="S120" i="14"/>
  <c r="T120" i="14" s="1"/>
  <c r="M120" i="14"/>
  <c r="P120" i="14" s="1"/>
  <c r="U80" i="14"/>
  <c r="Q78" i="14"/>
  <c r="T78" i="14" s="1"/>
  <c r="U77" i="14"/>
  <c r="O77" i="14"/>
  <c r="Q75" i="14"/>
  <c r="T75" i="14" s="1"/>
  <c r="O64" i="14"/>
  <c r="N50" i="14"/>
  <c r="O49" i="14"/>
  <c r="N23" i="14"/>
  <c r="R19" i="14"/>
  <c r="L19" i="14"/>
  <c r="Q141" i="14"/>
  <c r="T141" i="14" s="1"/>
  <c r="R96" i="14"/>
  <c r="L96" i="14"/>
  <c r="N74" i="14"/>
  <c r="N72" i="14" s="1"/>
  <c r="N61" i="14"/>
  <c r="N59" i="14" s="1"/>
  <c r="N46" i="14"/>
  <c r="S26" i="14"/>
  <c r="S24" i="14" s="1"/>
  <c r="S23" i="14"/>
  <c r="M23" i="14"/>
  <c r="Q19" i="14"/>
  <c r="Q96" i="14"/>
  <c r="S74" i="14"/>
  <c r="S72" i="14" s="1"/>
  <c r="M74" i="14"/>
  <c r="P74" i="14" s="1"/>
  <c r="M61" i="14"/>
  <c r="M46" i="14"/>
  <c r="R23" i="14"/>
  <c r="R21" i="14" s="1"/>
  <c r="L23" i="14"/>
  <c r="L21" i="14" s="1"/>
  <c r="U187" i="14"/>
  <c r="O187" i="14"/>
  <c r="K183" i="14"/>
  <c r="Q145" i="14"/>
  <c r="T145" i="14" s="1"/>
  <c r="Q142" i="14"/>
  <c r="T142" i="14" s="1"/>
  <c r="L100" i="14"/>
  <c r="O100" i="14" s="1"/>
  <c r="R97" i="14"/>
  <c r="L97" i="14"/>
  <c r="P45" i="14"/>
  <c r="U25" i="14"/>
  <c r="Q23" i="14"/>
  <c r="S602" i="1"/>
  <c r="M515" i="13"/>
  <c r="P515" i="13" s="1"/>
  <c r="M516" i="13"/>
  <c r="P516" i="13" s="1"/>
  <c r="I195" i="13"/>
  <c r="K195" i="13" s="1"/>
  <c r="K198" i="13"/>
  <c r="N176" i="13"/>
  <c r="N175" i="13"/>
  <c r="N173" i="13" s="1"/>
  <c r="L179" i="11"/>
  <c r="O179" i="11" s="1"/>
  <c r="L175" i="11"/>
  <c r="L173" i="11" s="1"/>
  <c r="Q96" i="12"/>
  <c r="T96" i="12" s="1"/>
  <c r="Q97" i="12"/>
  <c r="T97" i="12" s="1"/>
  <c r="T99" i="12"/>
  <c r="M642" i="13"/>
  <c r="P642" i="13" s="1"/>
  <c r="Q602" i="13"/>
  <c r="T602" i="13" s="1"/>
  <c r="P501" i="13"/>
  <c r="M499" i="13"/>
  <c r="P499" i="13" s="1"/>
  <c r="T187" i="13"/>
  <c r="T147" i="13"/>
  <c r="Q145" i="13"/>
  <c r="T145" i="13" s="1"/>
  <c r="S96" i="13"/>
  <c r="S94" i="13" s="1"/>
  <c r="T99" i="13"/>
  <c r="M514" i="1"/>
  <c r="M288" i="13"/>
  <c r="P288" i="13" s="1"/>
  <c r="P290" i="13"/>
  <c r="S188" i="13"/>
  <c r="S186" i="13" s="1"/>
  <c r="U191" i="13"/>
  <c r="L145" i="13"/>
  <c r="O145" i="13" s="1"/>
  <c r="K779" i="11"/>
  <c r="K785" i="12"/>
  <c r="K229" i="12"/>
  <c r="I221" i="12"/>
  <c r="K221" i="12" s="1"/>
  <c r="L760" i="13"/>
  <c r="O760" i="13" s="1"/>
  <c r="U647" i="13"/>
  <c r="R645" i="13"/>
  <c r="U645" i="13" s="1"/>
  <c r="T607" i="13"/>
  <c r="R493" i="13"/>
  <c r="U494" i="13"/>
  <c r="O416" i="13"/>
  <c r="L392" i="13"/>
  <c r="O392" i="13" s="1"/>
  <c r="M358" i="13"/>
  <c r="J332" i="13"/>
  <c r="K332" i="13" s="1"/>
  <c r="S333" i="13"/>
  <c r="T283" i="13"/>
  <c r="Q282" i="13"/>
  <c r="T282" i="13" s="1"/>
  <c r="K265" i="13"/>
  <c r="N268" i="13"/>
  <c r="N266" i="13" s="1"/>
  <c r="K202" i="13"/>
  <c r="M119" i="13"/>
  <c r="P119" i="13" s="1"/>
  <c r="P122" i="13"/>
  <c r="I93" i="13"/>
  <c r="K93" i="13" s="1"/>
  <c r="K109" i="13"/>
  <c r="P64" i="13"/>
  <c r="R19" i="13"/>
  <c r="L358" i="12"/>
  <c r="L356" i="12" s="1"/>
  <c r="L359" i="12"/>
  <c r="O359" i="12" s="1"/>
  <c r="Q192" i="12"/>
  <c r="T192" i="12" s="1"/>
  <c r="T194" i="12"/>
  <c r="K386" i="13"/>
  <c r="I374" i="13"/>
  <c r="N377" i="13"/>
  <c r="N375" i="13" s="1"/>
  <c r="M96" i="13"/>
  <c r="M94" i="13" s="1"/>
  <c r="M97" i="13"/>
  <c r="T73" i="13"/>
  <c r="K709" i="11"/>
  <c r="S496" i="11"/>
  <c r="U269" i="11"/>
  <c r="J702" i="12"/>
  <c r="S377" i="12"/>
  <c r="T377" i="12" s="1"/>
  <c r="O144" i="12"/>
  <c r="K705" i="13"/>
  <c r="Q415" i="13"/>
  <c r="Q413" i="13" s="1"/>
  <c r="Q416" i="13"/>
  <c r="R333" i="13"/>
  <c r="U333" i="13" s="1"/>
  <c r="O311" i="13"/>
  <c r="I221" i="13"/>
  <c r="K221" i="13" s="1"/>
  <c r="K229" i="13"/>
  <c r="Q192" i="13"/>
  <c r="T192" i="13" s="1"/>
  <c r="I92" i="13"/>
  <c r="K92" i="13" s="1"/>
  <c r="K108" i="13"/>
  <c r="L74" i="13"/>
  <c r="O74" i="13" s="1"/>
  <c r="Q59" i="13"/>
  <c r="T59" i="13" s="1"/>
  <c r="T60" i="13"/>
  <c r="J701" i="12"/>
  <c r="L203" i="12"/>
  <c r="O203" i="12" s="1"/>
  <c r="Q760" i="13"/>
  <c r="T760" i="13" s="1"/>
  <c r="Q714" i="13"/>
  <c r="T714" i="13" s="1"/>
  <c r="T695" i="13"/>
  <c r="M616" i="13"/>
  <c r="P616" i="13" s="1"/>
  <c r="L561" i="13"/>
  <c r="O561" i="13" s="1"/>
  <c r="J458" i="13"/>
  <c r="P418" i="13"/>
  <c r="S306" i="13"/>
  <c r="S305" i="13"/>
  <c r="S303" i="13" s="1"/>
  <c r="T308" i="13"/>
  <c r="N284" i="13"/>
  <c r="N282" i="13" s="1"/>
  <c r="T191" i="13"/>
  <c r="Q175" i="13"/>
  <c r="T175" i="13" s="1"/>
  <c r="Q176" i="13"/>
  <c r="T176" i="13" s="1"/>
  <c r="T178" i="13"/>
  <c r="I156" i="13"/>
  <c r="K156" i="13" s="1"/>
  <c r="K169" i="13"/>
  <c r="O165" i="13"/>
  <c r="P125" i="13"/>
  <c r="S59" i="13"/>
  <c r="Q601" i="13"/>
  <c r="T601" i="13" s="1"/>
  <c r="L189" i="12"/>
  <c r="Q692" i="13"/>
  <c r="Q690" i="13" s="1"/>
  <c r="P416" i="13"/>
  <c r="R377" i="13"/>
  <c r="U377" i="13" s="1"/>
  <c r="R378" i="13"/>
  <c r="R192" i="13"/>
  <c r="U192" i="13" s="1"/>
  <c r="U194" i="13"/>
  <c r="Q159" i="13"/>
  <c r="T159" i="13" s="1"/>
  <c r="T162" i="13"/>
  <c r="U99" i="13"/>
  <c r="R44" i="13"/>
  <c r="U44" i="13" s="1"/>
  <c r="M536" i="12"/>
  <c r="M534" i="12" s="1"/>
  <c r="P534" i="12" s="1"/>
  <c r="T308" i="12"/>
  <c r="Q306" i="12"/>
  <c r="T306" i="12" s="1"/>
  <c r="L235" i="12"/>
  <c r="K780" i="13"/>
  <c r="T765" i="13"/>
  <c r="P602" i="13"/>
  <c r="O584" i="13"/>
  <c r="O581" i="13"/>
  <c r="S555" i="13"/>
  <c r="L536" i="13"/>
  <c r="O536" i="13" s="1"/>
  <c r="O518" i="13"/>
  <c r="T397" i="13"/>
  <c r="T380" i="13"/>
  <c r="O364" i="13"/>
  <c r="Q356" i="13"/>
  <c r="T356" i="13" s="1"/>
  <c r="P328" i="13"/>
  <c r="N322" i="13"/>
  <c r="N320" i="13" s="1"/>
  <c r="S282" i="13"/>
  <c r="P271" i="13"/>
  <c r="K249" i="13"/>
  <c r="O194" i="13"/>
  <c r="O181" i="13"/>
  <c r="U178" i="13"/>
  <c r="P178" i="13"/>
  <c r="U162" i="13"/>
  <c r="T97" i="13"/>
  <c r="Q74" i="13"/>
  <c r="T74" i="13" s="1"/>
  <c r="S44" i="13"/>
  <c r="Q44" i="13"/>
  <c r="T44" i="13" s="1"/>
  <c r="I374" i="12"/>
  <c r="J675" i="13"/>
  <c r="S642" i="13"/>
  <c r="R642" i="13"/>
  <c r="U642" i="13" s="1"/>
  <c r="N536" i="13"/>
  <c r="N534" i="13" s="1"/>
  <c r="N537" i="13"/>
  <c r="N515" i="13"/>
  <c r="N513" i="13" s="1"/>
  <c r="N415" i="13"/>
  <c r="N413" i="13" s="1"/>
  <c r="L377" i="13"/>
  <c r="O377" i="13" s="1"/>
  <c r="L236" i="13"/>
  <c r="Q188" i="13"/>
  <c r="Q186" i="13" s="1"/>
  <c r="L141" i="13"/>
  <c r="R142" i="13"/>
  <c r="U142" i="13" s="1"/>
  <c r="N96" i="13"/>
  <c r="N94" i="13" s="1"/>
  <c r="N19" i="13"/>
  <c r="K344" i="12"/>
  <c r="R188" i="12"/>
  <c r="R186" i="12" s="1"/>
  <c r="R176" i="12"/>
  <c r="U176" i="12" s="1"/>
  <c r="K726" i="13"/>
  <c r="K709" i="13"/>
  <c r="P691" i="13"/>
  <c r="O643" i="13"/>
  <c r="K630" i="13"/>
  <c r="O617" i="13"/>
  <c r="O607" i="13"/>
  <c r="O521" i="13"/>
  <c r="P498" i="13"/>
  <c r="R496" i="13"/>
  <c r="L415" i="13"/>
  <c r="L413" i="13" s="1"/>
  <c r="K369" i="13"/>
  <c r="N358" i="13"/>
  <c r="N356" i="13" s="1"/>
  <c r="N359" i="13"/>
  <c r="P359" i="13" s="1"/>
  <c r="I319" i="13"/>
  <c r="K319" i="13" s="1"/>
  <c r="L234" i="13"/>
  <c r="I242" i="13"/>
  <c r="M188" i="13"/>
  <c r="M186" i="13" s="1"/>
  <c r="Q189" i="13"/>
  <c r="L159" i="13"/>
  <c r="O159" i="13" s="1"/>
  <c r="P144" i="13"/>
  <c r="L142" i="13"/>
  <c r="S119" i="13"/>
  <c r="S117" i="13" s="1"/>
  <c r="N120" i="13"/>
  <c r="P118" i="13"/>
  <c r="O99" i="13"/>
  <c r="I83" i="13"/>
  <c r="K83" i="13" s="1"/>
  <c r="R75" i="13"/>
  <c r="U75" i="13" s="1"/>
  <c r="R59" i="13"/>
  <c r="U59" i="13" s="1"/>
  <c r="L19" i="13"/>
  <c r="R416" i="12"/>
  <c r="U416" i="12" s="1"/>
  <c r="U418" i="12"/>
  <c r="S416" i="13"/>
  <c r="S415" i="13"/>
  <c r="U415" i="13" s="1"/>
  <c r="K779" i="12"/>
  <c r="S728" i="12"/>
  <c r="N601" i="12"/>
  <c r="N599" i="12" s="1"/>
  <c r="K440" i="12"/>
  <c r="I423" i="12"/>
  <c r="L188" i="12"/>
  <c r="L186" i="12" s="1"/>
  <c r="L120" i="12"/>
  <c r="O120" i="12" s="1"/>
  <c r="M760" i="13"/>
  <c r="P760" i="13" s="1"/>
  <c r="P761" i="13"/>
  <c r="U693" i="13"/>
  <c r="J674" i="13"/>
  <c r="U577" i="13"/>
  <c r="R576" i="13"/>
  <c r="U576" i="13" s="1"/>
  <c r="M558" i="13"/>
  <c r="P558" i="13" s="1"/>
  <c r="P560" i="13"/>
  <c r="M557" i="13"/>
  <c r="P557" i="13" s="1"/>
  <c r="P380" i="13"/>
  <c r="M378" i="13"/>
  <c r="P378" i="13" s="1"/>
  <c r="M377" i="13"/>
  <c r="K371" i="13"/>
  <c r="I365" i="13"/>
  <c r="K365" i="13" s="1"/>
  <c r="L176" i="12"/>
  <c r="O176" i="12" s="1"/>
  <c r="R601" i="13"/>
  <c r="U601" i="13" s="1"/>
  <c r="U604" i="13"/>
  <c r="P584" i="13"/>
  <c r="M582" i="13"/>
  <c r="P582" i="13" s="1"/>
  <c r="L605" i="1"/>
  <c r="O605" i="1" s="1"/>
  <c r="K784" i="12"/>
  <c r="K772" i="12"/>
  <c r="T693" i="12"/>
  <c r="R605" i="12"/>
  <c r="U605" i="12" s="1"/>
  <c r="M601" i="12"/>
  <c r="M599" i="12" s="1"/>
  <c r="M561" i="12"/>
  <c r="P561" i="12" s="1"/>
  <c r="P563" i="12"/>
  <c r="S495" i="12"/>
  <c r="S493" i="12" s="1"/>
  <c r="S496" i="12"/>
  <c r="M288" i="12"/>
  <c r="P288" i="12" s="1"/>
  <c r="P290" i="12"/>
  <c r="O194" i="12"/>
  <c r="L192" i="12"/>
  <c r="O192" i="12" s="1"/>
  <c r="U729" i="13"/>
  <c r="R714" i="13"/>
  <c r="U714" i="13" s="1"/>
  <c r="U715" i="13"/>
  <c r="T577" i="13"/>
  <c r="Q576" i="13"/>
  <c r="T576" i="13" s="1"/>
  <c r="O560" i="13"/>
  <c r="L557" i="13"/>
  <c r="Q534" i="13"/>
  <c r="T534" i="13" s="1"/>
  <c r="T535" i="13"/>
  <c r="K503" i="13"/>
  <c r="I492" i="13"/>
  <c r="K492" i="13" s="1"/>
  <c r="M496" i="13"/>
  <c r="U380" i="13"/>
  <c r="S378" i="13"/>
  <c r="P311" i="13"/>
  <c r="M309" i="13"/>
  <c r="P309" i="13" s="1"/>
  <c r="U268" i="13"/>
  <c r="S395" i="12"/>
  <c r="S394" i="12"/>
  <c r="S392" i="12" s="1"/>
  <c r="M120" i="12"/>
  <c r="P120" i="12" s="1"/>
  <c r="P122" i="12"/>
  <c r="T600" i="13"/>
  <c r="T515" i="13"/>
  <c r="Q513" i="13"/>
  <c r="T513" i="13" s="1"/>
  <c r="T306" i="9"/>
  <c r="Q142" i="11"/>
  <c r="T142" i="11" s="1"/>
  <c r="L65" i="11"/>
  <c r="O65" i="11" s="1"/>
  <c r="K727" i="12"/>
  <c r="M516" i="12"/>
  <c r="P516" i="12" s="1"/>
  <c r="K249" i="12"/>
  <c r="K209" i="12"/>
  <c r="U144" i="12"/>
  <c r="R142" i="12"/>
  <c r="U142" i="12" s="1"/>
  <c r="R120" i="12"/>
  <c r="U120" i="12" s="1"/>
  <c r="U122" i="12"/>
  <c r="S763" i="13"/>
  <c r="S762" i="13"/>
  <c r="S760" i="13" s="1"/>
  <c r="I758" i="13"/>
  <c r="K758" i="13" s="1"/>
  <c r="U695" i="13"/>
  <c r="S692" i="13"/>
  <c r="S690" i="13" s="1"/>
  <c r="N605" i="13"/>
  <c r="P274" i="13"/>
  <c r="M272" i="13"/>
  <c r="P272" i="13" s="1"/>
  <c r="L728" i="13"/>
  <c r="O728" i="13" s="1"/>
  <c r="O729" i="13"/>
  <c r="L714" i="13"/>
  <c r="O714" i="13" s="1"/>
  <c r="O715" i="13"/>
  <c r="J615" i="13"/>
  <c r="K615" i="13" s="1"/>
  <c r="K626" i="13"/>
  <c r="S605" i="13"/>
  <c r="S601" i="13"/>
  <c r="S599" i="13" s="1"/>
  <c r="O77" i="11"/>
  <c r="R762" i="12"/>
  <c r="U762" i="12" s="1"/>
  <c r="P539" i="12"/>
  <c r="O518" i="12"/>
  <c r="L163" i="12"/>
  <c r="O163" i="12" s="1"/>
  <c r="O165" i="12"/>
  <c r="R762" i="13"/>
  <c r="U765" i="13"/>
  <c r="R731" i="13"/>
  <c r="U731" i="13" s="1"/>
  <c r="R730" i="13"/>
  <c r="R728" i="13" s="1"/>
  <c r="U733" i="13"/>
  <c r="N728" i="13"/>
  <c r="N714" i="13"/>
  <c r="L601" i="13"/>
  <c r="O604" i="13"/>
  <c r="R602" i="13"/>
  <c r="U602" i="13" s="1"/>
  <c r="O274" i="12"/>
  <c r="L272" i="12"/>
  <c r="O272" i="12" s="1"/>
  <c r="Q123" i="12"/>
  <c r="T123" i="12" s="1"/>
  <c r="T125" i="12"/>
  <c r="P178" i="11"/>
  <c r="K780" i="12"/>
  <c r="Q762" i="12"/>
  <c r="T762" i="12" s="1"/>
  <c r="S618" i="12"/>
  <c r="S616" i="12" s="1"/>
  <c r="R601" i="12"/>
  <c r="M578" i="12"/>
  <c r="M576" i="12" s="1"/>
  <c r="P576" i="12" s="1"/>
  <c r="Q730" i="13"/>
  <c r="T733" i="13"/>
  <c r="M728" i="13"/>
  <c r="P728" i="13" s="1"/>
  <c r="P729" i="13"/>
  <c r="M714" i="13"/>
  <c r="P714" i="13" s="1"/>
  <c r="P715" i="13"/>
  <c r="T693" i="13"/>
  <c r="K632" i="13"/>
  <c r="T618" i="13"/>
  <c r="Q616" i="13"/>
  <c r="M605" i="13"/>
  <c r="P605" i="13" s="1"/>
  <c r="P607" i="13"/>
  <c r="U600" i="13"/>
  <c r="M537" i="13"/>
  <c r="P537" i="13" s="1"/>
  <c r="P539" i="13"/>
  <c r="M536" i="13"/>
  <c r="P536" i="13" s="1"/>
  <c r="O498" i="13"/>
  <c r="N496" i="13"/>
  <c r="O496" i="13" s="1"/>
  <c r="N495" i="13"/>
  <c r="N493" i="13" s="1"/>
  <c r="M495" i="13"/>
  <c r="U418" i="13"/>
  <c r="P357" i="13"/>
  <c r="J351" i="13"/>
  <c r="T268" i="13"/>
  <c r="N515" i="12"/>
  <c r="N513" i="12" s="1"/>
  <c r="J374" i="12"/>
  <c r="K371" i="12"/>
  <c r="O361" i="12"/>
  <c r="J351" i="12"/>
  <c r="K346" i="12"/>
  <c r="M335" i="12"/>
  <c r="M333" i="12" s="1"/>
  <c r="S305" i="12"/>
  <c r="S303" i="12" s="1"/>
  <c r="L268" i="12"/>
  <c r="L266" i="12" s="1"/>
  <c r="L269" i="12"/>
  <c r="I238" i="12"/>
  <c r="K238" i="12" s="1"/>
  <c r="N175" i="12"/>
  <c r="N173" i="12" s="1"/>
  <c r="M163" i="12"/>
  <c r="P163" i="12" s="1"/>
  <c r="R160" i="12"/>
  <c r="U160" i="12" s="1"/>
  <c r="P147" i="12"/>
  <c r="O125" i="12"/>
  <c r="L96" i="12"/>
  <c r="O96" i="12" s="1"/>
  <c r="L97" i="12"/>
  <c r="O97" i="12" s="1"/>
  <c r="O80" i="12"/>
  <c r="S730" i="13"/>
  <c r="S728" i="13" s="1"/>
  <c r="K631" i="13"/>
  <c r="P604" i="13"/>
  <c r="M601" i="13"/>
  <c r="M599" i="13" s="1"/>
  <c r="M578" i="13"/>
  <c r="P578" i="13" s="1"/>
  <c r="U557" i="13"/>
  <c r="L537" i="13"/>
  <c r="O537" i="13" s="1"/>
  <c r="R534" i="13"/>
  <c r="U534" i="13" s="1"/>
  <c r="L515" i="13"/>
  <c r="O515" i="13" s="1"/>
  <c r="T498" i="13"/>
  <c r="S496" i="13"/>
  <c r="P421" i="13"/>
  <c r="M392" i="13"/>
  <c r="P392" i="13" s="1"/>
  <c r="P393" i="13"/>
  <c r="O376" i="13"/>
  <c r="L358" i="13"/>
  <c r="O361" i="13"/>
  <c r="L359" i="13"/>
  <c r="R356" i="13"/>
  <c r="U356" i="13" s="1"/>
  <c r="M335" i="13"/>
  <c r="P338" i="13"/>
  <c r="M336" i="13"/>
  <c r="P336" i="13" s="1"/>
  <c r="U271" i="13"/>
  <c r="R269" i="13"/>
  <c r="L233" i="13"/>
  <c r="L254" i="13"/>
  <c r="O254" i="13" s="1"/>
  <c r="O191" i="13"/>
  <c r="N189" i="13"/>
  <c r="O189" i="13" s="1"/>
  <c r="N188" i="13"/>
  <c r="N186" i="13" s="1"/>
  <c r="U187" i="13"/>
  <c r="L175" i="13"/>
  <c r="L176" i="13"/>
  <c r="O178" i="13"/>
  <c r="M495" i="12"/>
  <c r="P495" i="12" s="1"/>
  <c r="M284" i="12"/>
  <c r="P284" i="12" s="1"/>
  <c r="T271" i="12"/>
  <c r="P194" i="12"/>
  <c r="P191" i="12"/>
  <c r="U162" i="12"/>
  <c r="N141" i="12"/>
  <c r="N139" i="12" s="1"/>
  <c r="U80" i="12"/>
  <c r="P77" i="12"/>
  <c r="I759" i="13"/>
  <c r="K759" i="13" s="1"/>
  <c r="K707" i="13"/>
  <c r="S495" i="13"/>
  <c r="S493" i="13" s="1"/>
  <c r="P414" i="13"/>
  <c r="O338" i="13"/>
  <c r="L335" i="13"/>
  <c r="L336" i="13"/>
  <c r="O336" i="13" s="1"/>
  <c r="R320" i="13"/>
  <c r="U320" i="13" s="1"/>
  <c r="R306" i="13"/>
  <c r="U308" i="13"/>
  <c r="R305" i="13"/>
  <c r="Q269" i="13"/>
  <c r="T271" i="13"/>
  <c r="O267" i="13"/>
  <c r="M179" i="13"/>
  <c r="P179" i="13" s="1"/>
  <c r="P181" i="13"/>
  <c r="K314" i="12"/>
  <c r="L145" i="12"/>
  <c r="O145" i="12" s="1"/>
  <c r="K629" i="13"/>
  <c r="T494" i="13"/>
  <c r="S395" i="13"/>
  <c r="S394" i="13"/>
  <c r="S392" i="13" s="1"/>
  <c r="U376" i="13"/>
  <c r="Q303" i="13"/>
  <c r="O304" i="13"/>
  <c r="R266" i="13"/>
  <c r="U266" i="13" s="1"/>
  <c r="U267" i="13"/>
  <c r="I172" i="13"/>
  <c r="K172" i="13" s="1"/>
  <c r="K183" i="13"/>
  <c r="L222" i="12"/>
  <c r="O222" i="12" s="1"/>
  <c r="L141" i="12"/>
  <c r="L139" i="12" s="1"/>
  <c r="L142" i="12"/>
  <c r="O65" i="12"/>
  <c r="N557" i="13"/>
  <c r="N555" i="13" s="1"/>
  <c r="P556" i="13"/>
  <c r="S534" i="13"/>
  <c r="R513" i="13"/>
  <c r="U513" i="13" s="1"/>
  <c r="K457" i="13"/>
  <c r="I456" i="13"/>
  <c r="K456" i="13" s="1"/>
  <c r="I423" i="13"/>
  <c r="R394" i="13"/>
  <c r="U397" i="13"/>
  <c r="P383" i="13"/>
  <c r="M381" i="13"/>
  <c r="P381" i="13" s="1"/>
  <c r="T376" i="13"/>
  <c r="N305" i="13"/>
  <c r="N303" i="13" s="1"/>
  <c r="U304" i="13"/>
  <c r="L288" i="13"/>
  <c r="O288" i="13" s="1"/>
  <c r="O290" i="13"/>
  <c r="P518" i="13"/>
  <c r="T418" i="13"/>
  <c r="P361" i="13"/>
  <c r="O308" i="13"/>
  <c r="O287" i="13"/>
  <c r="L284" i="13"/>
  <c r="O284" i="13" s="1"/>
  <c r="K276" i="13"/>
  <c r="O274" i="13"/>
  <c r="L272" i="13"/>
  <c r="O272" i="13" s="1"/>
  <c r="N269" i="13"/>
  <c r="Q266" i="13"/>
  <c r="T266" i="13" s="1"/>
  <c r="T267" i="13"/>
  <c r="L243" i="13"/>
  <c r="N159" i="13"/>
  <c r="N157" i="13" s="1"/>
  <c r="M145" i="13"/>
  <c r="P145" i="13" s="1"/>
  <c r="P147" i="13"/>
  <c r="M141" i="13"/>
  <c r="M139" i="13" s="1"/>
  <c r="S19" i="13"/>
  <c r="M415" i="13"/>
  <c r="Q377" i="13"/>
  <c r="T377" i="13" s="1"/>
  <c r="M322" i="13"/>
  <c r="Q320" i="13"/>
  <c r="T320" i="13" s="1"/>
  <c r="N306" i="13"/>
  <c r="O283" i="13"/>
  <c r="M269" i="13"/>
  <c r="M268" i="13"/>
  <c r="S141" i="13"/>
  <c r="S139" i="13" s="1"/>
  <c r="S145" i="13"/>
  <c r="Q26" i="13"/>
  <c r="Q333" i="13"/>
  <c r="T333" i="13" s="1"/>
  <c r="L323" i="13"/>
  <c r="O323" i="13" s="1"/>
  <c r="L322" i="13"/>
  <c r="P308" i="13"/>
  <c r="M306" i="13"/>
  <c r="P306" i="13" s="1"/>
  <c r="M305" i="13"/>
  <c r="P305" i="13" s="1"/>
  <c r="P287" i="13"/>
  <c r="M285" i="13"/>
  <c r="P285" i="13" s="1"/>
  <c r="R282" i="13"/>
  <c r="U282" i="13" s="1"/>
  <c r="U283" i="13"/>
  <c r="O271" i="13"/>
  <c r="L269" i="13"/>
  <c r="L268" i="13"/>
  <c r="L188" i="13"/>
  <c r="L186" i="13" s="1"/>
  <c r="U174" i="13"/>
  <c r="U95" i="13"/>
  <c r="L305" i="13"/>
  <c r="O305" i="13" s="1"/>
  <c r="S269" i="13"/>
  <c r="O187" i="13"/>
  <c r="U19" i="13"/>
  <c r="M192" i="13"/>
  <c r="P192" i="13" s="1"/>
  <c r="S189" i="13"/>
  <c r="M189" i="13"/>
  <c r="L160" i="13"/>
  <c r="O160" i="13" s="1"/>
  <c r="P158" i="13"/>
  <c r="K137" i="13"/>
  <c r="L123" i="13"/>
  <c r="O123" i="13" s="1"/>
  <c r="P191" i="13"/>
  <c r="I116" i="13"/>
  <c r="K116" i="13" s="1"/>
  <c r="K127" i="13"/>
  <c r="I82" i="13"/>
  <c r="N26" i="13"/>
  <c r="N24" i="13" s="1"/>
  <c r="K153" i="13"/>
  <c r="O122" i="13"/>
  <c r="L120" i="13"/>
  <c r="O120" i="13" s="1"/>
  <c r="P52" i="13"/>
  <c r="M26" i="13"/>
  <c r="M24" i="13" s="1"/>
  <c r="M50" i="13"/>
  <c r="P50" i="13" s="1"/>
  <c r="U122" i="13"/>
  <c r="R120" i="13"/>
  <c r="P99" i="13"/>
  <c r="N97" i="13"/>
  <c r="L26" i="13"/>
  <c r="P22" i="13"/>
  <c r="M19" i="13"/>
  <c r="S175" i="13"/>
  <c r="S173" i="13" s="1"/>
  <c r="S176" i="13"/>
  <c r="M175" i="13"/>
  <c r="M176" i="13"/>
  <c r="Q142" i="13"/>
  <c r="T142" i="13" s="1"/>
  <c r="Q141" i="13"/>
  <c r="R119" i="13"/>
  <c r="O95" i="13"/>
  <c r="R26" i="13"/>
  <c r="P67" i="13"/>
  <c r="M65" i="13"/>
  <c r="O47" i="13"/>
  <c r="P25" i="13"/>
  <c r="O19" i="13"/>
  <c r="S160" i="13"/>
  <c r="M160" i="13"/>
  <c r="P160" i="13" s="1"/>
  <c r="N142" i="13"/>
  <c r="S120" i="13"/>
  <c r="T120" i="13" s="1"/>
  <c r="M120" i="13"/>
  <c r="P120" i="13" s="1"/>
  <c r="U80" i="13"/>
  <c r="O80" i="13"/>
  <c r="Q78" i="13"/>
  <c r="T78" i="13" s="1"/>
  <c r="U77" i="13"/>
  <c r="O77" i="13"/>
  <c r="Q75" i="13"/>
  <c r="T75" i="13" s="1"/>
  <c r="O64" i="13"/>
  <c r="N50" i="13"/>
  <c r="O49" i="13"/>
  <c r="N23" i="13"/>
  <c r="R96" i="13"/>
  <c r="L96" i="13"/>
  <c r="N74" i="13"/>
  <c r="N72" i="13" s="1"/>
  <c r="N61" i="13"/>
  <c r="N46" i="13"/>
  <c r="S26" i="13"/>
  <c r="S24" i="13" s="1"/>
  <c r="S23" i="13"/>
  <c r="M23" i="13"/>
  <c r="M21" i="13" s="1"/>
  <c r="Q19" i="13"/>
  <c r="Q96" i="13"/>
  <c r="K85" i="13"/>
  <c r="S74" i="13"/>
  <c r="S72" i="13" s="1"/>
  <c r="M74" i="13"/>
  <c r="M61" i="13"/>
  <c r="M46" i="13"/>
  <c r="R23" i="13"/>
  <c r="L23" i="13"/>
  <c r="L100" i="13"/>
  <c r="O100" i="13" s="1"/>
  <c r="R97" i="13"/>
  <c r="U97" i="13" s="1"/>
  <c r="L97" i="13"/>
  <c r="Q23" i="13"/>
  <c r="Q731" i="12"/>
  <c r="Q730" i="12"/>
  <c r="T730" i="12" s="1"/>
  <c r="R157" i="12"/>
  <c r="U157" i="12" s="1"/>
  <c r="U158" i="12"/>
  <c r="Q59" i="12"/>
  <c r="T59" i="12" s="1"/>
  <c r="T60" i="12"/>
  <c r="J675" i="9"/>
  <c r="S616" i="9"/>
  <c r="T607" i="9"/>
  <c r="Q377" i="10"/>
  <c r="T377" i="10" s="1"/>
  <c r="K707" i="11"/>
  <c r="J702" i="11"/>
  <c r="O584" i="11"/>
  <c r="M579" i="11"/>
  <c r="P579" i="11" s="1"/>
  <c r="K365" i="11"/>
  <c r="S188" i="11"/>
  <c r="S186" i="11" s="1"/>
  <c r="K758" i="12"/>
  <c r="O607" i="12"/>
  <c r="L605" i="12"/>
  <c r="O605" i="12" s="1"/>
  <c r="Q415" i="12"/>
  <c r="Q416" i="12"/>
  <c r="T416" i="12" s="1"/>
  <c r="T418" i="12"/>
  <c r="M326" i="12"/>
  <c r="P326" i="12" s="1"/>
  <c r="P328" i="12"/>
  <c r="U145" i="12"/>
  <c r="R123" i="12"/>
  <c r="U123" i="12" s="1"/>
  <c r="U125" i="12"/>
  <c r="O47" i="12"/>
  <c r="K632" i="10"/>
  <c r="U693" i="11"/>
  <c r="L236" i="11"/>
  <c r="L536" i="12"/>
  <c r="O536" i="12" s="1"/>
  <c r="L537" i="12"/>
  <c r="O537" i="12" s="1"/>
  <c r="K503" i="12"/>
  <c r="I492" i="12"/>
  <c r="K492" i="12" s="1"/>
  <c r="T142" i="12"/>
  <c r="M62" i="12"/>
  <c r="P62" i="12" s="1"/>
  <c r="P64" i="12"/>
  <c r="T418" i="10"/>
  <c r="T308" i="10"/>
  <c r="S644" i="11"/>
  <c r="S642" i="11" s="1"/>
  <c r="N159" i="11"/>
  <c r="N157" i="11" s="1"/>
  <c r="R645" i="12"/>
  <c r="U645" i="12" s="1"/>
  <c r="U647" i="12"/>
  <c r="R644" i="12"/>
  <c r="U644" i="12" s="1"/>
  <c r="L582" i="12"/>
  <c r="O582" i="12" s="1"/>
  <c r="O584" i="12"/>
  <c r="O535" i="12"/>
  <c r="I319" i="12"/>
  <c r="K319" i="12" s="1"/>
  <c r="K330" i="12"/>
  <c r="Q176" i="12"/>
  <c r="T176" i="12" s="1"/>
  <c r="T178" i="12"/>
  <c r="Q175" i="12"/>
  <c r="T175" i="12" s="1"/>
  <c r="Q119" i="12"/>
  <c r="Q117" i="12" s="1"/>
  <c r="Q120" i="12"/>
  <c r="T120" i="12" s="1"/>
  <c r="T122" i="12"/>
  <c r="P49" i="12"/>
  <c r="P581" i="9"/>
  <c r="K784" i="11"/>
  <c r="P607" i="11"/>
  <c r="S378" i="11"/>
  <c r="U378" i="11" s="1"/>
  <c r="P359" i="11"/>
  <c r="M642" i="12"/>
  <c r="P642" i="12" s="1"/>
  <c r="P643" i="12"/>
  <c r="U535" i="12"/>
  <c r="R534" i="12"/>
  <c r="U534" i="12" s="1"/>
  <c r="Q513" i="12"/>
  <c r="T513" i="12" s="1"/>
  <c r="L159" i="12"/>
  <c r="O159" i="12" s="1"/>
  <c r="O162" i="12"/>
  <c r="L160" i="12"/>
  <c r="O160" i="12" s="1"/>
  <c r="O49" i="12"/>
  <c r="T125" i="9"/>
  <c r="K781" i="10"/>
  <c r="K772" i="10"/>
  <c r="L50" i="10"/>
  <c r="O50" i="10" s="1"/>
  <c r="R730" i="11"/>
  <c r="R728" i="11" s="1"/>
  <c r="M381" i="11"/>
  <c r="P381" i="11" s="1"/>
  <c r="Q159" i="11"/>
  <c r="Q157" i="11" s="1"/>
  <c r="T157" i="11" s="1"/>
  <c r="Q160" i="11"/>
  <c r="T160" i="11" s="1"/>
  <c r="L728" i="12"/>
  <c r="O728" i="12" s="1"/>
  <c r="I615" i="12"/>
  <c r="K615" i="12" s="1"/>
  <c r="K629" i="12"/>
  <c r="N557" i="12"/>
  <c r="N555" i="12" s="1"/>
  <c r="M272" i="12"/>
  <c r="P272" i="12" s="1"/>
  <c r="P274" i="12"/>
  <c r="N74" i="12"/>
  <c r="N75" i="12"/>
  <c r="K778" i="12"/>
  <c r="P762" i="12"/>
  <c r="S731" i="12"/>
  <c r="U731" i="12" s="1"/>
  <c r="L714" i="12"/>
  <c r="O714" i="12" s="1"/>
  <c r="K709" i="12"/>
  <c r="U695" i="12"/>
  <c r="P604" i="12"/>
  <c r="P581" i="12"/>
  <c r="O577" i="12"/>
  <c r="N516" i="12"/>
  <c r="O421" i="12"/>
  <c r="O418" i="12"/>
  <c r="N377" i="12"/>
  <c r="N375" i="12" s="1"/>
  <c r="K368" i="12"/>
  <c r="S356" i="12"/>
  <c r="N322" i="12"/>
  <c r="N320" i="12" s="1"/>
  <c r="N323" i="12"/>
  <c r="K293" i="12"/>
  <c r="O287" i="12"/>
  <c r="Q268" i="12"/>
  <c r="Q266" i="12" s="1"/>
  <c r="L214" i="12"/>
  <c r="O214" i="12" s="1"/>
  <c r="K202" i="12"/>
  <c r="U194" i="12"/>
  <c r="U191" i="12"/>
  <c r="O181" i="12"/>
  <c r="S175" i="12"/>
  <c r="S173" i="12" s="1"/>
  <c r="I156" i="12"/>
  <c r="K156" i="12" s="1"/>
  <c r="M74" i="12"/>
  <c r="M72" i="12" s="1"/>
  <c r="P72" i="12" s="1"/>
  <c r="N72" i="12"/>
  <c r="O67" i="12"/>
  <c r="L61" i="12"/>
  <c r="L59" i="12" s="1"/>
  <c r="U46" i="12"/>
  <c r="T765" i="12"/>
  <c r="J675" i="12"/>
  <c r="S644" i="12"/>
  <c r="S642" i="12" s="1"/>
  <c r="M579" i="12"/>
  <c r="P579" i="12" s="1"/>
  <c r="L561" i="12"/>
  <c r="O561" i="12" s="1"/>
  <c r="L557" i="12"/>
  <c r="O557" i="12" s="1"/>
  <c r="K386" i="12"/>
  <c r="M358" i="12"/>
  <c r="M356" i="12" s="1"/>
  <c r="R356" i="12"/>
  <c r="U356" i="12" s="1"/>
  <c r="N335" i="12"/>
  <c r="N333" i="12" s="1"/>
  <c r="N336" i="12"/>
  <c r="L335" i="12"/>
  <c r="L333" i="12" s="1"/>
  <c r="M322" i="12"/>
  <c r="P322" i="12" s="1"/>
  <c r="M323" i="12"/>
  <c r="P323" i="12" s="1"/>
  <c r="T191" i="12"/>
  <c r="N188" i="12"/>
  <c r="N186" i="12" s="1"/>
  <c r="I172" i="12"/>
  <c r="K172" i="12" s="1"/>
  <c r="U147" i="12"/>
  <c r="T144" i="12"/>
  <c r="M141" i="12"/>
  <c r="M139" i="12" s="1"/>
  <c r="R97" i="12"/>
  <c r="U97" i="12" s="1"/>
  <c r="S74" i="12"/>
  <c r="S72" i="12" s="1"/>
  <c r="T189" i="12"/>
  <c r="M175" i="12"/>
  <c r="N159" i="12"/>
  <c r="N157" i="12" s="1"/>
  <c r="S141" i="12"/>
  <c r="S139" i="12" s="1"/>
  <c r="R94" i="12"/>
  <c r="U94" i="12" s="1"/>
  <c r="L145" i="11"/>
  <c r="O145" i="11" s="1"/>
  <c r="K127" i="11"/>
  <c r="L760" i="12"/>
  <c r="O760" i="12" s="1"/>
  <c r="S692" i="12"/>
  <c r="S690" i="12" s="1"/>
  <c r="U619" i="12"/>
  <c r="S601" i="12"/>
  <c r="S599" i="12" s="1"/>
  <c r="L601" i="12"/>
  <c r="R602" i="12"/>
  <c r="U602" i="12" s="1"/>
  <c r="L578" i="12"/>
  <c r="O578" i="12" s="1"/>
  <c r="M537" i="12"/>
  <c r="P537" i="12" s="1"/>
  <c r="S513" i="12"/>
  <c r="M499" i="12"/>
  <c r="P499" i="12" s="1"/>
  <c r="P341" i="12"/>
  <c r="S333" i="12"/>
  <c r="O328" i="12"/>
  <c r="O311" i="12"/>
  <c r="K292" i="12"/>
  <c r="L288" i="12"/>
  <c r="O288" i="12" s="1"/>
  <c r="R269" i="12"/>
  <c r="L234" i="12"/>
  <c r="U189" i="12"/>
  <c r="N189" i="12"/>
  <c r="P189" i="12" s="1"/>
  <c r="L175" i="12"/>
  <c r="R141" i="12"/>
  <c r="R139" i="12" s="1"/>
  <c r="L75" i="12"/>
  <c r="O75" i="12" s="1"/>
  <c r="O64" i="12"/>
  <c r="S59" i="12"/>
  <c r="M19" i="12"/>
  <c r="R692" i="12"/>
  <c r="R690" i="12" s="1"/>
  <c r="J674" i="12"/>
  <c r="N602" i="12"/>
  <c r="O602" i="12" s="1"/>
  <c r="O560" i="12"/>
  <c r="M496" i="12"/>
  <c r="P496" i="12" s="1"/>
  <c r="K369" i="12"/>
  <c r="P361" i="12"/>
  <c r="M359" i="12"/>
  <c r="P359" i="12" s="1"/>
  <c r="O341" i="12"/>
  <c r="U308" i="12"/>
  <c r="Q188" i="12"/>
  <c r="Q186" i="12" s="1"/>
  <c r="R173" i="12"/>
  <c r="U173" i="12" s="1"/>
  <c r="T147" i="12"/>
  <c r="Q141" i="12"/>
  <c r="M142" i="12"/>
  <c r="R119" i="12"/>
  <c r="R117" i="12" s="1"/>
  <c r="L119" i="12"/>
  <c r="I116" i="12"/>
  <c r="K116" i="12" s="1"/>
  <c r="O102" i="12"/>
  <c r="P99" i="12"/>
  <c r="L74" i="12"/>
  <c r="L72" i="12" s="1"/>
  <c r="O72" i="12" s="1"/>
  <c r="P47" i="12"/>
  <c r="T22" i="12"/>
  <c r="T495" i="12"/>
  <c r="Q493" i="12"/>
  <c r="T493" i="12" s="1"/>
  <c r="P338" i="11"/>
  <c r="K726" i="12"/>
  <c r="K369" i="10"/>
  <c r="S763" i="11"/>
  <c r="K703" i="11"/>
  <c r="M557" i="11"/>
  <c r="P557" i="11" s="1"/>
  <c r="O542" i="11"/>
  <c r="L288" i="11"/>
  <c r="O288" i="11" s="1"/>
  <c r="L235" i="11"/>
  <c r="L234" i="11"/>
  <c r="I221" i="11"/>
  <c r="K221" i="11" s="1"/>
  <c r="L214" i="11"/>
  <c r="O214" i="11" s="1"/>
  <c r="L203" i="11"/>
  <c r="O203" i="11" s="1"/>
  <c r="T194" i="11"/>
  <c r="K183" i="11"/>
  <c r="M123" i="11"/>
  <c r="P123" i="11" s="1"/>
  <c r="M50" i="11"/>
  <c r="P50" i="11" s="1"/>
  <c r="P52" i="11"/>
  <c r="P49" i="11"/>
  <c r="T733" i="12"/>
  <c r="Q714" i="12"/>
  <c r="T714" i="12" s="1"/>
  <c r="M616" i="12"/>
  <c r="P616" i="12" s="1"/>
  <c r="S555" i="12"/>
  <c r="K505" i="12"/>
  <c r="J503" i="12"/>
  <c r="J492" i="12" s="1"/>
  <c r="K457" i="12"/>
  <c r="I456" i="12"/>
  <c r="K456" i="12" s="1"/>
  <c r="O383" i="12"/>
  <c r="L381" i="12"/>
  <c r="O381" i="12" s="1"/>
  <c r="I365" i="12"/>
  <c r="K365" i="12" s="1"/>
  <c r="T691" i="12"/>
  <c r="N416" i="12"/>
  <c r="N415" i="12"/>
  <c r="N413" i="12" s="1"/>
  <c r="U414" i="12"/>
  <c r="P380" i="12"/>
  <c r="M378" i="12"/>
  <c r="P378" i="12" s="1"/>
  <c r="M377" i="12"/>
  <c r="N306" i="12"/>
  <c r="N305" i="12"/>
  <c r="N303" i="12" s="1"/>
  <c r="N269" i="12"/>
  <c r="P269" i="12" s="1"/>
  <c r="O271" i="12"/>
  <c r="N268" i="12"/>
  <c r="N266" i="12" s="1"/>
  <c r="R762" i="11"/>
  <c r="U762" i="11" s="1"/>
  <c r="S159" i="11"/>
  <c r="S157" i="11" s="1"/>
  <c r="O556" i="12"/>
  <c r="O521" i="12"/>
  <c r="L519" i="12"/>
  <c r="O519" i="12" s="1"/>
  <c r="P338" i="12"/>
  <c r="M336" i="12"/>
  <c r="O521" i="9"/>
  <c r="O361" i="10"/>
  <c r="T147" i="10"/>
  <c r="K782" i="11"/>
  <c r="U647" i="11"/>
  <c r="L605" i="11"/>
  <c r="O605" i="11" s="1"/>
  <c r="P539" i="11"/>
  <c r="L339" i="11"/>
  <c r="O339" i="11" s="1"/>
  <c r="O162" i="11"/>
  <c r="U122" i="11"/>
  <c r="K108" i="11"/>
  <c r="U765" i="12"/>
  <c r="M714" i="12"/>
  <c r="P714" i="12" s="1"/>
  <c r="I689" i="12"/>
  <c r="K689" i="12" s="1"/>
  <c r="T643" i="12"/>
  <c r="K626" i="12"/>
  <c r="K630" i="12"/>
  <c r="K631" i="12"/>
  <c r="K632" i="12"/>
  <c r="Q619" i="12"/>
  <c r="T619" i="12" s="1"/>
  <c r="Q618" i="12"/>
  <c r="T621" i="12"/>
  <c r="L616" i="12"/>
  <c r="O616" i="12" s="1"/>
  <c r="O617" i="12"/>
  <c r="T604" i="12"/>
  <c r="Q602" i="12"/>
  <c r="T602" i="12" s="1"/>
  <c r="Q576" i="12"/>
  <c r="T576" i="12" s="1"/>
  <c r="R555" i="12"/>
  <c r="U555" i="12" s="1"/>
  <c r="U556" i="12"/>
  <c r="N536" i="12"/>
  <c r="N534" i="12" s="1"/>
  <c r="L495" i="12"/>
  <c r="O498" i="12"/>
  <c r="L496" i="12"/>
  <c r="O496" i="12" s="1"/>
  <c r="P494" i="12"/>
  <c r="O325" i="12"/>
  <c r="L323" i="12"/>
  <c r="O323" i="12" s="1"/>
  <c r="L322" i="12"/>
  <c r="N284" i="12"/>
  <c r="N282" i="12" s="1"/>
  <c r="M159" i="12"/>
  <c r="P159" i="12" s="1"/>
  <c r="M160" i="12"/>
  <c r="P160" i="12" s="1"/>
  <c r="P162" i="12"/>
  <c r="N393" i="1"/>
  <c r="K784" i="10"/>
  <c r="Q645" i="11"/>
  <c r="T645" i="11" s="1"/>
  <c r="L642" i="12"/>
  <c r="O642" i="12" s="1"/>
  <c r="N616" i="12"/>
  <c r="P514" i="12"/>
  <c r="P421" i="12"/>
  <c r="M419" i="12"/>
  <c r="P419" i="12" s="1"/>
  <c r="M415" i="12"/>
  <c r="P415" i="12" s="1"/>
  <c r="Q394" i="12"/>
  <c r="T394" i="12" s="1"/>
  <c r="T397" i="12"/>
  <c r="Q395" i="12"/>
  <c r="T395" i="12" s="1"/>
  <c r="O380" i="12"/>
  <c r="L378" i="12"/>
  <c r="O378" i="12" s="1"/>
  <c r="L377" i="12"/>
  <c r="Q303" i="12"/>
  <c r="T303" i="12" s="1"/>
  <c r="T304" i="12"/>
  <c r="U765" i="11"/>
  <c r="I374" i="11"/>
  <c r="I281" i="11"/>
  <c r="K281" i="11" s="1"/>
  <c r="P271" i="11"/>
  <c r="L254" i="11"/>
  <c r="O254" i="11" s="1"/>
  <c r="U147" i="11"/>
  <c r="P144" i="11"/>
  <c r="R730" i="12"/>
  <c r="U733" i="12"/>
  <c r="U693" i="12"/>
  <c r="Q555" i="12"/>
  <c r="T555" i="12" s="1"/>
  <c r="T556" i="12"/>
  <c r="O501" i="12"/>
  <c r="L499" i="12"/>
  <c r="O499" i="12" s="1"/>
  <c r="T393" i="12"/>
  <c r="R375" i="12"/>
  <c r="U322" i="12"/>
  <c r="R320" i="12"/>
  <c r="U320" i="12" s="1"/>
  <c r="O283" i="12"/>
  <c r="T118" i="12"/>
  <c r="K630" i="1"/>
  <c r="T617" i="12"/>
  <c r="P560" i="12"/>
  <c r="M558" i="12"/>
  <c r="P558" i="12" s="1"/>
  <c r="P521" i="12"/>
  <c r="M519" i="12"/>
  <c r="P519" i="12" s="1"/>
  <c r="M515" i="12"/>
  <c r="P515" i="12" s="1"/>
  <c r="T498" i="12"/>
  <c r="Q496" i="12"/>
  <c r="T496" i="12" s="1"/>
  <c r="P584" i="12"/>
  <c r="M582" i="12"/>
  <c r="P582" i="12" s="1"/>
  <c r="M557" i="12"/>
  <c r="P557" i="12" s="1"/>
  <c r="Q534" i="12"/>
  <c r="T534" i="12" s="1"/>
  <c r="L515" i="12"/>
  <c r="M381" i="12"/>
  <c r="P381" i="12" s="1"/>
  <c r="T358" i="12"/>
  <c r="Q356" i="12"/>
  <c r="T356" i="12" s="1"/>
  <c r="P311" i="12"/>
  <c r="M309" i="12"/>
  <c r="P309" i="12" s="1"/>
  <c r="M305" i="12"/>
  <c r="P305" i="12" s="1"/>
  <c r="K779" i="10"/>
  <c r="P378" i="10"/>
  <c r="K229" i="10"/>
  <c r="K778" i="11"/>
  <c r="K346" i="11"/>
  <c r="M97" i="11"/>
  <c r="P97" i="11" s="1"/>
  <c r="K774" i="12"/>
  <c r="I701" i="12"/>
  <c r="U617" i="12"/>
  <c r="T607" i="12"/>
  <c r="Q605" i="12"/>
  <c r="T605" i="12" s="1"/>
  <c r="Q601" i="12"/>
  <c r="T601" i="12" s="1"/>
  <c r="N578" i="12"/>
  <c r="N576" i="12" s="1"/>
  <c r="P542" i="12"/>
  <c r="M540" i="12"/>
  <c r="P540" i="12" s="1"/>
  <c r="R495" i="12"/>
  <c r="U498" i="12"/>
  <c r="R496" i="12"/>
  <c r="U496" i="12" s="1"/>
  <c r="P287" i="12"/>
  <c r="M285" i="12"/>
  <c r="P285" i="12" s="1"/>
  <c r="T695" i="12"/>
  <c r="Q692" i="12"/>
  <c r="U691" i="12"/>
  <c r="O691" i="12"/>
  <c r="T647" i="12"/>
  <c r="Q644" i="12"/>
  <c r="T644" i="12" s="1"/>
  <c r="U643" i="12"/>
  <c r="O643" i="12"/>
  <c r="U621" i="12"/>
  <c r="R618" i="12"/>
  <c r="P617" i="12"/>
  <c r="U604" i="12"/>
  <c r="O604" i="12"/>
  <c r="O581" i="12"/>
  <c r="P556" i="12"/>
  <c r="O539" i="12"/>
  <c r="P498" i="12"/>
  <c r="P418" i="12"/>
  <c r="M416" i="12"/>
  <c r="P416" i="12" s="1"/>
  <c r="S415" i="12"/>
  <c r="S413" i="12" s="1"/>
  <c r="M392" i="12"/>
  <c r="P392" i="12" s="1"/>
  <c r="P393" i="12"/>
  <c r="Q375" i="12"/>
  <c r="T376" i="12"/>
  <c r="P339" i="12"/>
  <c r="O338" i="12"/>
  <c r="L336" i="12"/>
  <c r="P308" i="12"/>
  <c r="M306" i="12"/>
  <c r="P306" i="12" s="1"/>
  <c r="S282" i="12"/>
  <c r="M268" i="12"/>
  <c r="P271" i="12"/>
  <c r="S160" i="12"/>
  <c r="S159" i="12"/>
  <c r="S157" i="12" s="1"/>
  <c r="I138" i="12"/>
  <c r="K138" i="12" s="1"/>
  <c r="K153" i="12"/>
  <c r="K703" i="12"/>
  <c r="L392" i="12"/>
  <c r="O392" i="12" s="1"/>
  <c r="O393" i="12"/>
  <c r="U380" i="12"/>
  <c r="R378" i="12"/>
  <c r="U378" i="12" s="1"/>
  <c r="O339" i="12"/>
  <c r="R333" i="12"/>
  <c r="U333" i="12" s="1"/>
  <c r="O304" i="12"/>
  <c r="R282" i="12"/>
  <c r="U282" i="12" s="1"/>
  <c r="U283" i="12"/>
  <c r="K152" i="12"/>
  <c r="I137" i="12"/>
  <c r="K137" i="12" s="1"/>
  <c r="M123" i="12"/>
  <c r="P123" i="12" s="1"/>
  <c r="P125" i="12"/>
  <c r="T46" i="12"/>
  <c r="Q44" i="12"/>
  <c r="T44" i="12" s="1"/>
  <c r="N495" i="12"/>
  <c r="N493" i="12" s="1"/>
  <c r="P414" i="12"/>
  <c r="T380" i="12"/>
  <c r="Q378" i="12"/>
  <c r="T378" i="12" s="1"/>
  <c r="P364" i="12"/>
  <c r="M362" i="12"/>
  <c r="P362" i="12" s="1"/>
  <c r="J332" i="12"/>
  <c r="K332" i="12" s="1"/>
  <c r="J343" i="12"/>
  <c r="Q333" i="12"/>
  <c r="T333" i="12" s="1"/>
  <c r="T334" i="12"/>
  <c r="Q282" i="12"/>
  <c r="T282" i="12" s="1"/>
  <c r="T283" i="12"/>
  <c r="S268" i="12"/>
  <c r="S266" i="12" s="1"/>
  <c r="U266" i="12" s="1"/>
  <c r="U271" i="12"/>
  <c r="S269" i="12"/>
  <c r="K242" i="12"/>
  <c r="N232" i="12"/>
  <c r="R59" i="12"/>
  <c r="U59" i="12" s="1"/>
  <c r="U61" i="12"/>
  <c r="P19" i="12"/>
  <c r="O414" i="12"/>
  <c r="R395" i="12"/>
  <c r="U395" i="12" s="1"/>
  <c r="R394" i="12"/>
  <c r="U394" i="12" s="1"/>
  <c r="U397" i="12"/>
  <c r="U393" i="12"/>
  <c r="O364" i="12"/>
  <c r="L362" i="12"/>
  <c r="O362" i="12" s="1"/>
  <c r="U304" i="12"/>
  <c r="L236" i="12"/>
  <c r="L243" i="12"/>
  <c r="I213" i="12"/>
  <c r="K213" i="12" s="1"/>
  <c r="K220" i="12"/>
  <c r="P174" i="12"/>
  <c r="U25" i="12"/>
  <c r="R19" i="12"/>
  <c r="O19" i="12"/>
  <c r="R415" i="12"/>
  <c r="U415" i="12" s="1"/>
  <c r="L415" i="12"/>
  <c r="O415" i="12" s="1"/>
  <c r="N358" i="12"/>
  <c r="U334" i="12"/>
  <c r="O334" i="12"/>
  <c r="P325" i="12"/>
  <c r="T321" i="12"/>
  <c r="R305" i="12"/>
  <c r="U305" i="12" s="1"/>
  <c r="L305" i="12"/>
  <c r="O305" i="12" s="1"/>
  <c r="P304" i="12"/>
  <c r="L284" i="12"/>
  <c r="O284" i="12" s="1"/>
  <c r="K276" i="12"/>
  <c r="O267" i="12"/>
  <c r="I253" i="12"/>
  <c r="K253" i="12" s="1"/>
  <c r="T174" i="12"/>
  <c r="Q159" i="12"/>
  <c r="T159" i="12" s="1"/>
  <c r="T162" i="12"/>
  <c r="Q160" i="12"/>
  <c r="T160" i="12" s="1"/>
  <c r="O158" i="12"/>
  <c r="I83" i="12"/>
  <c r="K85" i="12"/>
  <c r="L254" i="12"/>
  <c r="O254" i="12" s="1"/>
  <c r="J231" i="12"/>
  <c r="J185" i="12" s="1"/>
  <c r="L233" i="12"/>
  <c r="R192" i="12"/>
  <c r="U192" i="12" s="1"/>
  <c r="U22" i="12"/>
  <c r="K260" i="12"/>
  <c r="N142" i="12"/>
  <c r="P144" i="12"/>
  <c r="M100" i="12"/>
  <c r="P100" i="12" s="1"/>
  <c r="P102" i="12"/>
  <c r="I93" i="12"/>
  <c r="K93" i="12" s="1"/>
  <c r="R23" i="12"/>
  <c r="R21" i="12" s="1"/>
  <c r="U77" i="12"/>
  <c r="R74" i="12"/>
  <c r="R75" i="12"/>
  <c r="U75" i="12" s="1"/>
  <c r="P60" i="12"/>
  <c r="S19" i="12"/>
  <c r="I195" i="12"/>
  <c r="K195" i="12" s="1"/>
  <c r="K108" i="12"/>
  <c r="I92" i="12"/>
  <c r="K92" i="12" s="1"/>
  <c r="Q26" i="12"/>
  <c r="T80" i="12"/>
  <c r="Q78" i="12"/>
  <c r="T78" i="12" s="1"/>
  <c r="N26" i="12"/>
  <c r="N24" i="12" s="1"/>
  <c r="N50" i="12"/>
  <c r="M176" i="12"/>
  <c r="P176" i="12" s="1"/>
  <c r="Q145" i="12"/>
  <c r="T145" i="12" s="1"/>
  <c r="N119" i="12"/>
  <c r="N117" i="12" s="1"/>
  <c r="N96" i="12"/>
  <c r="N94" i="12" s="1"/>
  <c r="I82" i="12"/>
  <c r="Q23" i="12"/>
  <c r="T77" i="12"/>
  <c r="P67" i="12"/>
  <c r="M65" i="12"/>
  <c r="P65" i="12" s="1"/>
  <c r="N61" i="12"/>
  <c r="N59" i="12" s="1"/>
  <c r="P52" i="12"/>
  <c r="M26" i="12"/>
  <c r="M50" i="12"/>
  <c r="P50" i="12" s="1"/>
  <c r="N46" i="12"/>
  <c r="N44" i="12" s="1"/>
  <c r="S188" i="12"/>
  <c r="S186" i="12" s="1"/>
  <c r="M188" i="12"/>
  <c r="P158" i="12"/>
  <c r="M119" i="12"/>
  <c r="P119" i="12" s="1"/>
  <c r="P118" i="12"/>
  <c r="M96" i="12"/>
  <c r="P96" i="12" s="1"/>
  <c r="P95" i="12"/>
  <c r="Q75" i="12"/>
  <c r="T75" i="12" s="1"/>
  <c r="Q74" i="12"/>
  <c r="M61" i="12"/>
  <c r="L62" i="12"/>
  <c r="O62" i="12" s="1"/>
  <c r="L26" i="12"/>
  <c r="L50" i="12"/>
  <c r="O50" i="12" s="1"/>
  <c r="M46" i="12"/>
  <c r="M44" i="12" s="1"/>
  <c r="P25" i="12"/>
  <c r="S26" i="12"/>
  <c r="S24" i="12" s="1"/>
  <c r="L46" i="12"/>
  <c r="O25" i="12"/>
  <c r="N23" i="12"/>
  <c r="P22" i="12"/>
  <c r="O187" i="12"/>
  <c r="P178" i="12"/>
  <c r="S119" i="12"/>
  <c r="S96" i="12"/>
  <c r="S94" i="12" s="1"/>
  <c r="R26" i="12"/>
  <c r="O22" i="12"/>
  <c r="K154" i="12"/>
  <c r="S23" i="12"/>
  <c r="M23" i="12"/>
  <c r="L23" i="12"/>
  <c r="L21" i="12" s="1"/>
  <c r="R142" i="10"/>
  <c r="U142" i="10" s="1"/>
  <c r="U144" i="10"/>
  <c r="M760" i="11"/>
  <c r="P760" i="11" s="1"/>
  <c r="P761" i="11"/>
  <c r="L326" i="11"/>
  <c r="O326" i="11" s="1"/>
  <c r="L322" i="11"/>
  <c r="L320" i="11" s="1"/>
  <c r="O320" i="11" s="1"/>
  <c r="O328" i="11"/>
  <c r="N322" i="11"/>
  <c r="N320" i="11" s="1"/>
  <c r="N323" i="11"/>
  <c r="I302" i="11"/>
  <c r="K302" i="11" s="1"/>
  <c r="K314" i="11"/>
  <c r="S282" i="11"/>
  <c r="R268" i="11"/>
  <c r="R266" i="11" s="1"/>
  <c r="U271" i="11"/>
  <c r="R160" i="11"/>
  <c r="U160" i="11" s="1"/>
  <c r="U162" i="11"/>
  <c r="S96" i="11"/>
  <c r="S94" i="11" s="1"/>
  <c r="S97" i="11"/>
  <c r="L78" i="11"/>
  <c r="O78" i="11" s="1"/>
  <c r="O80" i="11"/>
  <c r="I759" i="11"/>
  <c r="K759" i="11" s="1"/>
  <c r="K774" i="11"/>
  <c r="I319" i="11"/>
  <c r="K319" i="11" s="1"/>
  <c r="K330" i="11"/>
  <c r="M75" i="11"/>
  <c r="P75" i="11" s="1"/>
  <c r="P77" i="11"/>
  <c r="S760" i="11"/>
  <c r="P122" i="11"/>
  <c r="M120" i="11"/>
  <c r="P120" i="11" s="1"/>
  <c r="Q731" i="11"/>
  <c r="T731" i="11" s="1"/>
  <c r="Q730" i="11"/>
  <c r="Q728" i="11" s="1"/>
  <c r="M377" i="11"/>
  <c r="P380" i="11"/>
  <c r="M378" i="11"/>
  <c r="P378" i="11" s="1"/>
  <c r="M339" i="11"/>
  <c r="P339" i="11" s="1"/>
  <c r="P341" i="11"/>
  <c r="U194" i="11"/>
  <c r="R192" i="11"/>
  <c r="U192" i="11" s="1"/>
  <c r="M516" i="11"/>
  <c r="P516" i="11" s="1"/>
  <c r="P518" i="11"/>
  <c r="M495" i="11"/>
  <c r="P495" i="11" s="1"/>
  <c r="M496" i="11"/>
  <c r="P496" i="11" s="1"/>
  <c r="L358" i="11"/>
  <c r="L356" i="11" s="1"/>
  <c r="L359" i="11"/>
  <c r="O359" i="11" s="1"/>
  <c r="O361" i="11"/>
  <c r="I332" i="11"/>
  <c r="K344" i="11"/>
  <c r="Q306" i="11"/>
  <c r="T306" i="11" s="1"/>
  <c r="Q305" i="11"/>
  <c r="Q303" i="11" s="1"/>
  <c r="T308" i="11"/>
  <c r="N141" i="11"/>
  <c r="N139" i="11" s="1"/>
  <c r="N142" i="11"/>
  <c r="M601" i="11"/>
  <c r="P601" i="11" s="1"/>
  <c r="P604" i="11"/>
  <c r="M602" i="11"/>
  <c r="P602" i="11" s="1"/>
  <c r="N578" i="11"/>
  <c r="N576" i="11" s="1"/>
  <c r="N579" i="11"/>
  <c r="O563" i="11"/>
  <c r="L561" i="11"/>
  <c r="O561" i="11" s="1"/>
  <c r="S394" i="11"/>
  <c r="S392" i="11" s="1"/>
  <c r="S395" i="11"/>
  <c r="M335" i="11"/>
  <c r="M333" i="11" s="1"/>
  <c r="L268" i="11"/>
  <c r="L266" i="11" s="1"/>
  <c r="O271" i="11"/>
  <c r="L269" i="11"/>
  <c r="O269" i="11" s="1"/>
  <c r="Q123" i="11"/>
  <c r="T123" i="11" s="1"/>
  <c r="T125" i="11"/>
  <c r="T120" i="11"/>
  <c r="K785" i="10"/>
  <c r="L381" i="10"/>
  <c r="O381" i="10" s="1"/>
  <c r="I281" i="10"/>
  <c r="K281" i="10" s="1"/>
  <c r="K780" i="11"/>
  <c r="Q762" i="11"/>
  <c r="T762" i="11" s="1"/>
  <c r="L760" i="11"/>
  <c r="O760" i="11" s="1"/>
  <c r="N728" i="11"/>
  <c r="N714" i="11"/>
  <c r="J701" i="11"/>
  <c r="Q693" i="11"/>
  <c r="T693" i="11" s="1"/>
  <c r="S692" i="11"/>
  <c r="T692" i="11" s="1"/>
  <c r="J674" i="11"/>
  <c r="R644" i="11"/>
  <c r="U644" i="11" s="1"/>
  <c r="S601" i="11"/>
  <c r="S599" i="11" s="1"/>
  <c r="L601" i="11"/>
  <c r="O601" i="11" s="1"/>
  <c r="M499" i="11"/>
  <c r="P499" i="11" s="1"/>
  <c r="L495" i="11"/>
  <c r="O495" i="11" s="1"/>
  <c r="T418" i="11"/>
  <c r="S415" i="11"/>
  <c r="T415" i="11" s="1"/>
  <c r="M392" i="11"/>
  <c r="P392" i="11" s="1"/>
  <c r="K371" i="11"/>
  <c r="N335" i="11"/>
  <c r="N333" i="11" s="1"/>
  <c r="N336" i="11"/>
  <c r="K260" i="11"/>
  <c r="R188" i="11"/>
  <c r="K152" i="11"/>
  <c r="T147" i="11"/>
  <c r="O125" i="11"/>
  <c r="S119" i="11"/>
  <c r="S117" i="11" s="1"/>
  <c r="R74" i="11"/>
  <c r="U74" i="11" s="1"/>
  <c r="L74" i="11"/>
  <c r="O74" i="11" s="1"/>
  <c r="L61" i="11"/>
  <c r="L59" i="11" s="1"/>
  <c r="S59" i="11"/>
  <c r="S44" i="11"/>
  <c r="J674" i="10"/>
  <c r="L236" i="10"/>
  <c r="T765" i="11"/>
  <c r="K727" i="11"/>
  <c r="U695" i="11"/>
  <c r="R692" i="11"/>
  <c r="R690" i="11" s="1"/>
  <c r="R601" i="11"/>
  <c r="U601" i="11" s="1"/>
  <c r="L578" i="11"/>
  <c r="O578" i="11" s="1"/>
  <c r="O560" i="11"/>
  <c r="Q513" i="11"/>
  <c r="T513" i="11" s="1"/>
  <c r="P361" i="11"/>
  <c r="M336" i="11"/>
  <c r="M305" i="11"/>
  <c r="P305" i="11" s="1"/>
  <c r="K293" i="11"/>
  <c r="R186" i="11"/>
  <c r="N163" i="11"/>
  <c r="U120" i="11"/>
  <c r="K369" i="9"/>
  <c r="N305" i="9"/>
  <c r="N303" i="9" s="1"/>
  <c r="S305" i="10"/>
  <c r="S303" i="10" s="1"/>
  <c r="N46" i="10"/>
  <c r="N44" i="10" s="1"/>
  <c r="K785" i="11"/>
  <c r="R605" i="11"/>
  <c r="U605" i="11" s="1"/>
  <c r="P563" i="11"/>
  <c r="L536" i="11"/>
  <c r="O536" i="11" s="1"/>
  <c r="I423" i="11"/>
  <c r="K423" i="11" s="1"/>
  <c r="N358" i="11"/>
  <c r="N356" i="11" s="1"/>
  <c r="S333" i="11"/>
  <c r="S305" i="11"/>
  <c r="S303" i="11" s="1"/>
  <c r="N284" i="11"/>
  <c r="N282" i="11" s="1"/>
  <c r="L272" i="11"/>
  <c r="O272" i="11" s="1"/>
  <c r="S268" i="11"/>
  <c r="I238" i="11"/>
  <c r="K238" i="11" s="1"/>
  <c r="N232" i="11"/>
  <c r="U178" i="11"/>
  <c r="M175" i="11"/>
  <c r="M173" i="11" s="1"/>
  <c r="R176" i="11"/>
  <c r="U176" i="11" s="1"/>
  <c r="Q119" i="11"/>
  <c r="Q117" i="11" s="1"/>
  <c r="L50" i="11"/>
  <c r="O50" i="11" s="1"/>
  <c r="N19" i="11"/>
  <c r="I374" i="10"/>
  <c r="L322" i="10"/>
  <c r="O322" i="10" s="1"/>
  <c r="O191" i="10"/>
  <c r="K127" i="10"/>
  <c r="O761" i="11"/>
  <c r="T733" i="11"/>
  <c r="K726" i="11"/>
  <c r="Q714" i="11"/>
  <c r="T714" i="11" s="1"/>
  <c r="J675" i="11"/>
  <c r="M642" i="11"/>
  <c r="P642" i="11" s="1"/>
  <c r="R619" i="11"/>
  <c r="U619" i="11" s="1"/>
  <c r="S618" i="11"/>
  <c r="U618" i="11" s="1"/>
  <c r="L602" i="11"/>
  <c r="O602" i="11" s="1"/>
  <c r="P600" i="11"/>
  <c r="S555" i="11"/>
  <c r="K457" i="11"/>
  <c r="K368" i="11"/>
  <c r="N268" i="11"/>
  <c r="N266" i="11" s="1"/>
  <c r="L176" i="11"/>
  <c r="I156" i="11"/>
  <c r="K156" i="11" s="1"/>
  <c r="Q141" i="11"/>
  <c r="T141" i="11" s="1"/>
  <c r="N96" i="11"/>
  <c r="N94" i="11" s="1"/>
  <c r="R59" i="11"/>
  <c r="U59" i="11" s="1"/>
  <c r="L47" i="11"/>
  <c r="M46" i="11"/>
  <c r="M44" i="11" s="1"/>
  <c r="P325" i="9"/>
  <c r="O52" i="9"/>
  <c r="K631" i="10"/>
  <c r="U761" i="11"/>
  <c r="P729" i="11"/>
  <c r="M690" i="11"/>
  <c r="P690" i="11" s="1"/>
  <c r="N601" i="11"/>
  <c r="N599" i="11" s="1"/>
  <c r="L557" i="11"/>
  <c r="O557" i="11" s="1"/>
  <c r="N515" i="11"/>
  <c r="N513" i="11" s="1"/>
  <c r="N495" i="11"/>
  <c r="N493" i="11" s="1"/>
  <c r="N415" i="11"/>
  <c r="N413" i="11" s="1"/>
  <c r="U397" i="11"/>
  <c r="J374" i="11"/>
  <c r="N377" i="11"/>
  <c r="N375" i="11" s="1"/>
  <c r="M362" i="11"/>
  <c r="P362" i="11" s="1"/>
  <c r="S356" i="11"/>
  <c r="P269" i="11"/>
  <c r="L243" i="11"/>
  <c r="O243" i="11" s="1"/>
  <c r="I242" i="11"/>
  <c r="L192" i="11"/>
  <c r="O192" i="11" s="1"/>
  <c r="L188" i="11"/>
  <c r="L186" i="11" s="1"/>
  <c r="S175" i="11"/>
  <c r="S173" i="11" s="1"/>
  <c r="P147" i="11"/>
  <c r="N119" i="11"/>
  <c r="N117" i="11" s="1"/>
  <c r="M100" i="11"/>
  <c r="P100" i="11" s="1"/>
  <c r="M74" i="11"/>
  <c r="P74" i="11" s="1"/>
  <c r="T45" i="11"/>
  <c r="S493" i="10"/>
  <c r="I689" i="11"/>
  <c r="K689" i="11" s="1"/>
  <c r="P584" i="11"/>
  <c r="M582" i="11"/>
  <c r="P582" i="11" s="1"/>
  <c r="K784" i="9"/>
  <c r="L335" i="9"/>
  <c r="L333" i="9" s="1"/>
  <c r="N322" i="9"/>
  <c r="N320" i="9" s="1"/>
  <c r="K778" i="10"/>
  <c r="M578" i="10"/>
  <c r="P578" i="10" s="1"/>
  <c r="O563" i="10"/>
  <c r="M323" i="10"/>
  <c r="P323" i="10" s="1"/>
  <c r="L235" i="10"/>
  <c r="M188" i="10"/>
  <c r="M186" i="10" s="1"/>
  <c r="R78" i="10"/>
  <c r="U78" i="10" s="1"/>
  <c r="O65" i="10"/>
  <c r="L61" i="10"/>
  <c r="L59" i="10" s="1"/>
  <c r="L62" i="10"/>
  <c r="K781" i="11"/>
  <c r="U731" i="11"/>
  <c r="L690" i="11"/>
  <c r="O690" i="11" s="1"/>
  <c r="Q642" i="11"/>
  <c r="T642" i="11" s="1"/>
  <c r="T643" i="11"/>
  <c r="K626" i="11"/>
  <c r="K630" i="11"/>
  <c r="K631" i="11"/>
  <c r="K632" i="11"/>
  <c r="Q619" i="11"/>
  <c r="T619" i="11" s="1"/>
  <c r="Q618" i="11"/>
  <c r="T621" i="11"/>
  <c r="M616" i="11"/>
  <c r="P616" i="11" s="1"/>
  <c r="I615" i="11"/>
  <c r="K615" i="11" s="1"/>
  <c r="O380" i="11"/>
  <c r="L378" i="11"/>
  <c r="O378" i="11" s="1"/>
  <c r="L377" i="11"/>
  <c r="O311" i="11"/>
  <c r="L309" i="11"/>
  <c r="O309" i="11" s="1"/>
  <c r="P290" i="11"/>
  <c r="M288" i="11"/>
  <c r="P288" i="11" s="1"/>
  <c r="M188" i="11"/>
  <c r="O521" i="11"/>
  <c r="L519" i="11"/>
  <c r="O519" i="11" s="1"/>
  <c r="L515" i="11"/>
  <c r="L419" i="11"/>
  <c r="O419" i="11" s="1"/>
  <c r="O421" i="11"/>
  <c r="N189" i="11"/>
  <c r="O189" i="11" s="1"/>
  <c r="P191" i="11"/>
  <c r="N188" i="11"/>
  <c r="I412" i="9"/>
  <c r="K412" i="9" s="1"/>
  <c r="L188" i="9"/>
  <c r="L186" i="9" s="1"/>
  <c r="J675" i="10"/>
  <c r="T647" i="10"/>
  <c r="P560" i="10"/>
  <c r="I137" i="10"/>
  <c r="K137" i="10" s="1"/>
  <c r="S119" i="10"/>
  <c r="S117" i="10" s="1"/>
  <c r="Q97" i="10"/>
  <c r="T97" i="10" s="1"/>
  <c r="L78" i="10"/>
  <c r="O78" i="10" s="1"/>
  <c r="K783" i="11"/>
  <c r="K629" i="11"/>
  <c r="L616" i="11"/>
  <c r="O616" i="11" s="1"/>
  <c r="O617" i="11"/>
  <c r="T604" i="11"/>
  <c r="Q602" i="11"/>
  <c r="T602" i="11" s="1"/>
  <c r="Q576" i="11"/>
  <c r="T576" i="11" s="1"/>
  <c r="R555" i="11"/>
  <c r="U555" i="11" s="1"/>
  <c r="U556" i="11"/>
  <c r="N536" i="11"/>
  <c r="N534" i="11" s="1"/>
  <c r="K505" i="11"/>
  <c r="J503" i="11"/>
  <c r="J492" i="11" s="1"/>
  <c r="R416" i="11"/>
  <c r="U416" i="11" s="1"/>
  <c r="U418" i="11"/>
  <c r="R415" i="11"/>
  <c r="O414" i="11"/>
  <c r="L392" i="11"/>
  <c r="O392" i="11" s="1"/>
  <c r="O393" i="11"/>
  <c r="O383" i="11"/>
  <c r="L381" i="11"/>
  <c r="O381" i="11" s="1"/>
  <c r="U380" i="11"/>
  <c r="R377" i="11"/>
  <c r="O338" i="11"/>
  <c r="L336" i="11"/>
  <c r="L335" i="11"/>
  <c r="Q493" i="11"/>
  <c r="T493" i="11" s="1"/>
  <c r="M192" i="11"/>
  <c r="P192" i="11" s="1"/>
  <c r="P194" i="11"/>
  <c r="Q601" i="9"/>
  <c r="T601" i="9" s="1"/>
  <c r="O290" i="9"/>
  <c r="L235" i="9"/>
  <c r="P77" i="9"/>
  <c r="K780" i="10"/>
  <c r="J701" i="10"/>
  <c r="U607" i="10"/>
  <c r="U604" i="10"/>
  <c r="J503" i="10"/>
  <c r="J492" i="10" s="1"/>
  <c r="U397" i="10"/>
  <c r="M381" i="10"/>
  <c r="P381" i="10" s="1"/>
  <c r="J351" i="10"/>
  <c r="K346" i="10"/>
  <c r="P341" i="10"/>
  <c r="K209" i="10"/>
  <c r="T194" i="10"/>
  <c r="P147" i="10"/>
  <c r="Q141" i="10"/>
  <c r="T141" i="10" s="1"/>
  <c r="U733" i="11"/>
  <c r="S730" i="11"/>
  <c r="S728" i="11" s="1"/>
  <c r="Q690" i="11"/>
  <c r="T691" i="11"/>
  <c r="Q555" i="11"/>
  <c r="T555" i="11" s="1"/>
  <c r="T556" i="11"/>
  <c r="M536" i="11"/>
  <c r="O498" i="11"/>
  <c r="L496" i="11"/>
  <c r="O496" i="11" s="1"/>
  <c r="Q413" i="11"/>
  <c r="P162" i="11"/>
  <c r="M160" i="11"/>
  <c r="P160" i="11" s="1"/>
  <c r="M159" i="11"/>
  <c r="U95" i="11"/>
  <c r="N284" i="10"/>
  <c r="N282" i="10" s="1"/>
  <c r="N616" i="11"/>
  <c r="Q534" i="11"/>
  <c r="T534" i="11" s="1"/>
  <c r="P514" i="11"/>
  <c r="P181" i="7"/>
  <c r="S269" i="8"/>
  <c r="T269" i="8" s="1"/>
  <c r="L234" i="8"/>
  <c r="J701" i="9"/>
  <c r="M519" i="9"/>
  <c r="P519" i="9" s="1"/>
  <c r="P341" i="9"/>
  <c r="P584" i="10"/>
  <c r="M496" i="10"/>
  <c r="P496" i="10" s="1"/>
  <c r="M163" i="10"/>
  <c r="P163" i="10" s="1"/>
  <c r="I701" i="11"/>
  <c r="K705" i="11"/>
  <c r="R616" i="11"/>
  <c r="U617" i="11"/>
  <c r="T607" i="11"/>
  <c r="Q605" i="11"/>
  <c r="T605" i="11" s="1"/>
  <c r="Q601" i="11"/>
  <c r="T601" i="11" s="1"/>
  <c r="P542" i="11"/>
  <c r="M540" i="11"/>
  <c r="P540" i="11" s="1"/>
  <c r="O501" i="11"/>
  <c r="L499" i="11"/>
  <c r="O499" i="11" s="1"/>
  <c r="U414" i="11"/>
  <c r="T377" i="11"/>
  <c r="Q375" i="11"/>
  <c r="T375" i="11" s="1"/>
  <c r="U357" i="11"/>
  <c r="R356" i="11"/>
  <c r="U356" i="11" s="1"/>
  <c r="U284" i="11"/>
  <c r="R282" i="11"/>
  <c r="U282" i="11" s="1"/>
  <c r="O556" i="11"/>
  <c r="T498" i="11"/>
  <c r="Q496" i="11"/>
  <c r="T496" i="11" s="1"/>
  <c r="M268" i="11"/>
  <c r="M272" i="11"/>
  <c r="P272" i="11" s="1"/>
  <c r="P274" i="11"/>
  <c r="T187" i="11"/>
  <c r="S394" i="8"/>
  <c r="S392" i="8" s="1"/>
  <c r="U733" i="9"/>
  <c r="K183" i="9"/>
  <c r="K152" i="9"/>
  <c r="L496" i="10"/>
  <c r="O496" i="10" s="1"/>
  <c r="L46" i="10"/>
  <c r="L44" i="10" s="1"/>
  <c r="L642" i="11"/>
  <c r="O642" i="11" s="1"/>
  <c r="T617" i="11"/>
  <c r="M578" i="11"/>
  <c r="P560" i="11"/>
  <c r="M558" i="11"/>
  <c r="P558" i="11" s="1"/>
  <c r="N557" i="11"/>
  <c r="N555" i="11" s="1"/>
  <c r="P521" i="11"/>
  <c r="M519" i="11"/>
  <c r="P519" i="11" s="1"/>
  <c r="M515" i="11"/>
  <c r="P515" i="11" s="1"/>
  <c r="U498" i="11"/>
  <c r="R496" i="11"/>
  <c r="U496" i="11" s="1"/>
  <c r="R493" i="11"/>
  <c r="U493" i="11" s="1"/>
  <c r="P421" i="11"/>
  <c r="M419" i="11"/>
  <c r="P419" i="11" s="1"/>
  <c r="O308" i="11"/>
  <c r="L306" i="11"/>
  <c r="O306" i="11" s="1"/>
  <c r="L305" i="11"/>
  <c r="K772" i="11"/>
  <c r="T761" i="11"/>
  <c r="T695" i="11"/>
  <c r="U691" i="11"/>
  <c r="O691" i="11"/>
  <c r="T647" i="11"/>
  <c r="U643" i="11"/>
  <c r="O643" i="11"/>
  <c r="U621" i="11"/>
  <c r="P617" i="11"/>
  <c r="U604" i="11"/>
  <c r="O604" i="11"/>
  <c r="O581" i="11"/>
  <c r="P556" i="11"/>
  <c r="O539" i="11"/>
  <c r="P498" i="11"/>
  <c r="T494" i="11"/>
  <c r="I456" i="11"/>
  <c r="K456" i="11" s="1"/>
  <c r="O418" i="11"/>
  <c r="U393" i="11"/>
  <c r="K386" i="11"/>
  <c r="T380" i="11"/>
  <c r="Q378" i="11"/>
  <c r="J332" i="11"/>
  <c r="J343" i="11"/>
  <c r="U335" i="11"/>
  <c r="R333" i="11"/>
  <c r="U333" i="11" s="1"/>
  <c r="M322" i="11"/>
  <c r="L323" i="11"/>
  <c r="O323" i="11" s="1"/>
  <c r="R320" i="11"/>
  <c r="U320" i="11" s="1"/>
  <c r="R305" i="11"/>
  <c r="U308" i="11"/>
  <c r="R306" i="11"/>
  <c r="U306" i="11" s="1"/>
  <c r="K276" i="11"/>
  <c r="I265" i="11"/>
  <c r="K265" i="11" s="1"/>
  <c r="I195" i="11"/>
  <c r="K195" i="11" s="1"/>
  <c r="K198" i="11"/>
  <c r="K503" i="11"/>
  <c r="N416" i="11"/>
  <c r="O416" i="11" s="1"/>
  <c r="R394" i="11"/>
  <c r="U394" i="11" s="1"/>
  <c r="T393" i="11"/>
  <c r="O364" i="11"/>
  <c r="L362" i="11"/>
  <c r="O362" i="11" s="1"/>
  <c r="P357" i="11"/>
  <c r="Q333" i="11"/>
  <c r="T333" i="11" s="1"/>
  <c r="T334" i="11"/>
  <c r="R173" i="11"/>
  <c r="U173" i="11" s="1"/>
  <c r="U174" i="11"/>
  <c r="K153" i="11"/>
  <c r="I138" i="11"/>
  <c r="K138" i="11" s="1"/>
  <c r="L100" i="11"/>
  <c r="O100" i="11" s="1"/>
  <c r="L26" i="11"/>
  <c r="O102" i="11"/>
  <c r="L96" i="11"/>
  <c r="O96" i="11" s="1"/>
  <c r="P418" i="11"/>
  <c r="M416" i="11"/>
  <c r="M415" i="11"/>
  <c r="Q395" i="11"/>
  <c r="T395" i="11" s="1"/>
  <c r="Q394" i="11"/>
  <c r="T394" i="11" s="1"/>
  <c r="T397" i="11"/>
  <c r="P328" i="11"/>
  <c r="M326" i="11"/>
  <c r="P326" i="11" s="1"/>
  <c r="N305" i="11"/>
  <c r="N303" i="11" s="1"/>
  <c r="M284" i="11"/>
  <c r="P287" i="11"/>
  <c r="T271" i="11"/>
  <c r="Q268" i="11"/>
  <c r="Q269" i="11"/>
  <c r="T269" i="11" s="1"/>
  <c r="S26" i="11"/>
  <c r="S24" i="11" s="1"/>
  <c r="Q59" i="11"/>
  <c r="T59" i="11" s="1"/>
  <c r="T60" i="11"/>
  <c r="P49" i="10"/>
  <c r="L415" i="11"/>
  <c r="J351" i="11"/>
  <c r="M285" i="11"/>
  <c r="P285" i="11" s="1"/>
  <c r="M358" i="11"/>
  <c r="Q320" i="11"/>
  <c r="T320" i="11" s="1"/>
  <c r="M309" i="11"/>
  <c r="P309" i="11" s="1"/>
  <c r="M306" i="11"/>
  <c r="P306" i="11" s="1"/>
  <c r="L285" i="11"/>
  <c r="O285" i="11" s="1"/>
  <c r="T191" i="11"/>
  <c r="O178" i="11"/>
  <c r="N176" i="11"/>
  <c r="M176" i="11"/>
  <c r="N175" i="11"/>
  <c r="P308" i="11"/>
  <c r="Q282" i="11"/>
  <c r="T282" i="11" s="1"/>
  <c r="T267" i="11"/>
  <c r="L222" i="11"/>
  <c r="O222" i="11" s="1"/>
  <c r="I213" i="11"/>
  <c r="K213" i="11" s="1"/>
  <c r="S189" i="11"/>
  <c r="U189" i="11" s="1"/>
  <c r="U187" i="11"/>
  <c r="P181" i="11"/>
  <c r="T178" i="11"/>
  <c r="O174" i="11"/>
  <c r="R159" i="11"/>
  <c r="U159" i="11" s="1"/>
  <c r="U144" i="11"/>
  <c r="O144" i="11"/>
  <c r="Q97" i="11"/>
  <c r="T97" i="11" s="1"/>
  <c r="T99" i="11"/>
  <c r="Q26" i="11"/>
  <c r="T26" i="11" s="1"/>
  <c r="Q78" i="11"/>
  <c r="T78" i="11" s="1"/>
  <c r="T80" i="11"/>
  <c r="N47" i="11"/>
  <c r="N23" i="11"/>
  <c r="O49" i="11"/>
  <c r="N46" i="11"/>
  <c r="L284" i="11"/>
  <c r="L233" i="11"/>
  <c r="I202" i="11"/>
  <c r="K202" i="11" s="1"/>
  <c r="R141" i="11"/>
  <c r="Q96" i="11"/>
  <c r="I83" i="11"/>
  <c r="N62" i="11"/>
  <c r="O62" i="11" s="1"/>
  <c r="O64" i="11"/>
  <c r="N61" i="11"/>
  <c r="Q188" i="11"/>
  <c r="P165" i="11"/>
  <c r="M163" i="11"/>
  <c r="P163" i="11" s="1"/>
  <c r="S142" i="11"/>
  <c r="S141" i="11"/>
  <c r="S139" i="11" s="1"/>
  <c r="S23" i="11"/>
  <c r="S21" i="11" s="1"/>
  <c r="O95" i="11"/>
  <c r="O73" i="11"/>
  <c r="M62" i="11"/>
  <c r="M23" i="11"/>
  <c r="M21" i="11" s="1"/>
  <c r="P64" i="11"/>
  <c r="M61" i="11"/>
  <c r="N26" i="11"/>
  <c r="N24" i="11" s="1"/>
  <c r="S19" i="11"/>
  <c r="Q175" i="11"/>
  <c r="L163" i="11"/>
  <c r="O163" i="11" s="1"/>
  <c r="L159" i="11"/>
  <c r="O159" i="11" s="1"/>
  <c r="I136" i="11"/>
  <c r="K136" i="11" s="1"/>
  <c r="K154" i="11"/>
  <c r="L141" i="11"/>
  <c r="N75" i="11"/>
  <c r="N74" i="11"/>
  <c r="N72" i="11" s="1"/>
  <c r="P67" i="11"/>
  <c r="M26" i="11"/>
  <c r="P26" i="11" s="1"/>
  <c r="M65" i="11"/>
  <c r="P65" i="11" s="1"/>
  <c r="R44" i="11"/>
  <c r="U44" i="11" s="1"/>
  <c r="U191" i="11"/>
  <c r="O191" i="11"/>
  <c r="P174" i="11"/>
  <c r="T122" i="11"/>
  <c r="L119" i="11"/>
  <c r="O119" i="11" s="1"/>
  <c r="I82" i="11"/>
  <c r="P80" i="11"/>
  <c r="S74" i="11"/>
  <c r="S72" i="11" s="1"/>
  <c r="M141" i="11"/>
  <c r="P141" i="11" s="1"/>
  <c r="R123" i="11"/>
  <c r="U123" i="11" s="1"/>
  <c r="R26" i="11"/>
  <c r="P25" i="11"/>
  <c r="R119" i="11"/>
  <c r="L97" i="11"/>
  <c r="O97" i="11" s="1"/>
  <c r="L23" i="11"/>
  <c r="Q74" i="11"/>
  <c r="T74" i="11" s="1"/>
  <c r="Q23" i="11"/>
  <c r="Q75" i="11"/>
  <c r="T75" i="11" s="1"/>
  <c r="P22" i="11"/>
  <c r="M19" i="11"/>
  <c r="K109" i="11"/>
  <c r="I93" i="11"/>
  <c r="K93" i="11" s="1"/>
  <c r="R97" i="11"/>
  <c r="U97" i="11" s="1"/>
  <c r="R23" i="11"/>
  <c r="R96" i="11"/>
  <c r="U96" i="11" s="1"/>
  <c r="M119" i="11"/>
  <c r="P119" i="11" s="1"/>
  <c r="M96" i="11"/>
  <c r="N50" i="11"/>
  <c r="R19" i="11"/>
  <c r="L19" i="11"/>
  <c r="Q19" i="11"/>
  <c r="Q605" i="10"/>
  <c r="T605" i="10" s="1"/>
  <c r="T607" i="10"/>
  <c r="Q601" i="10"/>
  <c r="T601" i="10" s="1"/>
  <c r="Q602" i="10"/>
  <c r="T602" i="10" s="1"/>
  <c r="T604" i="10"/>
  <c r="L269" i="10"/>
  <c r="L268" i="10"/>
  <c r="L266" i="10" s="1"/>
  <c r="O271" i="10"/>
  <c r="L179" i="10"/>
  <c r="O179" i="10" s="1"/>
  <c r="O181" i="10"/>
  <c r="Q416" i="8"/>
  <c r="T416" i="8" s="1"/>
  <c r="R645" i="9"/>
  <c r="U645" i="9" s="1"/>
  <c r="M579" i="9"/>
  <c r="P579" i="9" s="1"/>
  <c r="K440" i="9"/>
  <c r="N62" i="9"/>
  <c r="P62" i="9" s="1"/>
  <c r="P64" i="9"/>
  <c r="T691" i="10"/>
  <c r="L616" i="10"/>
  <c r="O616" i="10" s="1"/>
  <c r="Q513" i="10"/>
  <c r="T513" i="10" s="1"/>
  <c r="M416" i="10"/>
  <c r="P416" i="10" s="1"/>
  <c r="P418" i="10"/>
  <c r="S269" i="10"/>
  <c r="U269" i="10" s="1"/>
  <c r="U271" i="10"/>
  <c r="L175" i="10"/>
  <c r="O175" i="10" s="1"/>
  <c r="I92" i="10"/>
  <c r="K92" i="10" s="1"/>
  <c r="K108" i="10"/>
  <c r="L74" i="10"/>
  <c r="O74" i="10" s="1"/>
  <c r="O77" i="10"/>
  <c r="L75" i="10"/>
  <c r="O75" i="10" s="1"/>
  <c r="T418" i="8"/>
  <c r="P325" i="8"/>
  <c r="L323" i="8"/>
  <c r="O323" i="8" s="1"/>
  <c r="I253" i="9"/>
  <c r="K253" i="9" s="1"/>
  <c r="K260" i="9"/>
  <c r="R762" i="10"/>
  <c r="U762" i="10" s="1"/>
  <c r="R763" i="10"/>
  <c r="O584" i="10"/>
  <c r="L582" i="10"/>
  <c r="O582" i="10" s="1"/>
  <c r="K371" i="10"/>
  <c r="I365" i="10"/>
  <c r="K365" i="10" s="1"/>
  <c r="N141" i="10"/>
  <c r="N139" i="10" s="1"/>
  <c r="N142" i="10"/>
  <c r="S96" i="10"/>
  <c r="S94" i="10" s="1"/>
  <c r="S97" i="10"/>
  <c r="R74" i="10"/>
  <c r="U74" i="10" s="1"/>
  <c r="U77" i="10"/>
  <c r="S375" i="6"/>
  <c r="K784" i="8"/>
  <c r="K781" i="8"/>
  <c r="K440" i="8"/>
  <c r="R730" i="9"/>
  <c r="K631" i="9"/>
  <c r="K703" i="10"/>
  <c r="I701" i="10"/>
  <c r="K701" i="10" s="1"/>
  <c r="R377" i="10"/>
  <c r="U377" i="10" s="1"/>
  <c r="R378" i="10"/>
  <c r="U194" i="10"/>
  <c r="R192" i="10"/>
  <c r="U192" i="10" s="1"/>
  <c r="R176" i="10"/>
  <c r="U176" i="10" s="1"/>
  <c r="U178" i="10"/>
  <c r="R175" i="10"/>
  <c r="U175" i="10" s="1"/>
  <c r="K154" i="10"/>
  <c r="I136" i="10"/>
  <c r="K136" i="10" s="1"/>
  <c r="T73" i="10"/>
  <c r="M305" i="9"/>
  <c r="M303" i="9" s="1"/>
  <c r="R619" i="10"/>
  <c r="U619" i="10" s="1"/>
  <c r="R618" i="10"/>
  <c r="R616" i="10" s="1"/>
  <c r="Q282" i="10"/>
  <c r="T282" i="10" s="1"/>
  <c r="T283" i="10"/>
  <c r="K169" i="10"/>
  <c r="I156" i="10"/>
  <c r="K156" i="10" s="1"/>
  <c r="K781" i="9"/>
  <c r="Q728" i="10"/>
  <c r="T729" i="10"/>
  <c r="P125" i="10"/>
  <c r="M123" i="10"/>
  <c r="P123" i="10" s="1"/>
  <c r="M78" i="10"/>
  <c r="P78" i="10" s="1"/>
  <c r="P80" i="10"/>
  <c r="M74" i="10"/>
  <c r="M72" i="10" s="1"/>
  <c r="P72" i="10" s="1"/>
  <c r="M62" i="10"/>
  <c r="M61" i="10"/>
  <c r="M59" i="10" s="1"/>
  <c r="L254" i="9"/>
  <c r="O254" i="9" s="1"/>
  <c r="S160" i="9"/>
  <c r="N119" i="9"/>
  <c r="N117" i="9" s="1"/>
  <c r="S760" i="10"/>
  <c r="M760" i="10"/>
  <c r="P760" i="10" s="1"/>
  <c r="Q714" i="10"/>
  <c r="T714" i="10" s="1"/>
  <c r="L642" i="10"/>
  <c r="O642" i="10" s="1"/>
  <c r="U617" i="10"/>
  <c r="O617" i="10"/>
  <c r="O607" i="10"/>
  <c r="N557" i="10"/>
  <c r="N555" i="10" s="1"/>
  <c r="O539" i="10"/>
  <c r="Q416" i="10"/>
  <c r="T416" i="10" s="1"/>
  <c r="R395" i="10"/>
  <c r="U395" i="10" s="1"/>
  <c r="K386" i="10"/>
  <c r="K368" i="10"/>
  <c r="M358" i="10"/>
  <c r="L323" i="10"/>
  <c r="O323" i="10" s="1"/>
  <c r="P290" i="10"/>
  <c r="L288" i="10"/>
  <c r="O288" i="10" s="1"/>
  <c r="R268" i="10"/>
  <c r="R266" i="10" s="1"/>
  <c r="U266" i="10" s="1"/>
  <c r="L243" i="10"/>
  <c r="O243" i="10" s="1"/>
  <c r="L203" i="10"/>
  <c r="O203" i="10" s="1"/>
  <c r="U191" i="10"/>
  <c r="L188" i="10"/>
  <c r="L186" i="10" s="1"/>
  <c r="L176" i="10"/>
  <c r="O176" i="10" s="1"/>
  <c r="T162" i="10"/>
  <c r="U147" i="10"/>
  <c r="O147" i="10"/>
  <c r="T144" i="10"/>
  <c r="K116" i="10"/>
  <c r="M97" i="10"/>
  <c r="P97" i="10" s="1"/>
  <c r="Q74" i="10"/>
  <c r="T74" i="10" s="1"/>
  <c r="P67" i="10"/>
  <c r="Q59" i="10"/>
  <c r="T59" i="10" s="1"/>
  <c r="S44" i="10"/>
  <c r="M160" i="9"/>
  <c r="P160" i="9" s="1"/>
  <c r="N120" i="9"/>
  <c r="U731" i="10"/>
  <c r="K726" i="10"/>
  <c r="Q692" i="10"/>
  <c r="T692" i="10" s="1"/>
  <c r="Q618" i="10"/>
  <c r="Q616" i="10" s="1"/>
  <c r="N616" i="10"/>
  <c r="O581" i="10"/>
  <c r="N515" i="10"/>
  <c r="N513" i="10" s="1"/>
  <c r="P501" i="10"/>
  <c r="L495" i="10"/>
  <c r="O495" i="10" s="1"/>
  <c r="J374" i="10"/>
  <c r="P380" i="10"/>
  <c r="O378" i="10"/>
  <c r="M362" i="10"/>
  <c r="P362" i="10" s="1"/>
  <c r="O341" i="10"/>
  <c r="M322" i="10"/>
  <c r="M268" i="10"/>
  <c r="M266" i="10" s="1"/>
  <c r="P194" i="10"/>
  <c r="T191" i="10"/>
  <c r="T187" i="10"/>
  <c r="P181" i="10"/>
  <c r="O178" i="10"/>
  <c r="S120" i="10"/>
  <c r="T96" i="10"/>
  <c r="N284" i="9"/>
  <c r="N282" i="9" s="1"/>
  <c r="K209" i="9"/>
  <c r="S157" i="9"/>
  <c r="S141" i="9"/>
  <c r="S139" i="9" s="1"/>
  <c r="S119" i="9"/>
  <c r="S117" i="9" s="1"/>
  <c r="L119" i="9"/>
  <c r="O119" i="9" s="1"/>
  <c r="M96" i="9"/>
  <c r="S97" i="9"/>
  <c r="T97" i="9" s="1"/>
  <c r="Q763" i="10"/>
  <c r="S730" i="10"/>
  <c r="S728" i="10" s="1"/>
  <c r="J702" i="10"/>
  <c r="Q644" i="10"/>
  <c r="N642" i="10"/>
  <c r="L601" i="10"/>
  <c r="L599" i="10" s="1"/>
  <c r="L557" i="10"/>
  <c r="L555" i="10" s="1"/>
  <c r="O555" i="10" s="1"/>
  <c r="P518" i="10"/>
  <c r="L499" i="10"/>
  <c r="O499" i="10" s="1"/>
  <c r="J458" i="10"/>
  <c r="N175" i="10"/>
  <c r="N173" i="10" s="1"/>
  <c r="Q175" i="10"/>
  <c r="T175" i="10" s="1"/>
  <c r="Q142" i="10"/>
  <c r="T142" i="10" s="1"/>
  <c r="M120" i="10"/>
  <c r="P120" i="10" s="1"/>
  <c r="M100" i="10"/>
  <c r="P100" i="10" s="1"/>
  <c r="R96" i="10"/>
  <c r="U96" i="10" s="1"/>
  <c r="N19" i="10"/>
  <c r="M100" i="9"/>
  <c r="P100" i="9" s="1"/>
  <c r="L46" i="9"/>
  <c r="L44" i="9" s="1"/>
  <c r="T765" i="10"/>
  <c r="Q693" i="10"/>
  <c r="T693" i="10" s="1"/>
  <c r="T621" i="10"/>
  <c r="S576" i="10"/>
  <c r="T498" i="10"/>
  <c r="M495" i="10"/>
  <c r="P495" i="10" s="1"/>
  <c r="L416" i="10"/>
  <c r="O416" i="10" s="1"/>
  <c r="N392" i="10"/>
  <c r="T380" i="10"/>
  <c r="M377" i="10"/>
  <c r="M375" i="10" s="1"/>
  <c r="S378" i="10"/>
  <c r="T378" i="10" s="1"/>
  <c r="N377" i="10"/>
  <c r="M359" i="10"/>
  <c r="O328" i="10"/>
  <c r="N305" i="10"/>
  <c r="N303" i="10" s="1"/>
  <c r="N285" i="10"/>
  <c r="M272" i="10"/>
  <c r="P272" i="10" s="1"/>
  <c r="S188" i="10"/>
  <c r="S186" i="10" s="1"/>
  <c r="N119" i="10"/>
  <c r="N117" i="10" s="1"/>
  <c r="T77" i="10"/>
  <c r="O67" i="10"/>
  <c r="T60" i="10"/>
  <c r="L47" i="10"/>
  <c r="M268" i="9"/>
  <c r="M266" i="9" s="1"/>
  <c r="Q74" i="9"/>
  <c r="Q72" i="9" s="1"/>
  <c r="R601" i="10"/>
  <c r="U601" i="10" s="1"/>
  <c r="L602" i="10"/>
  <c r="L578" i="10"/>
  <c r="O578" i="10" s="1"/>
  <c r="R513" i="10"/>
  <c r="U513" i="10" s="1"/>
  <c r="S496" i="10"/>
  <c r="I456" i="10"/>
  <c r="K456" i="10" s="1"/>
  <c r="M392" i="10"/>
  <c r="P392" i="10" s="1"/>
  <c r="S375" i="10"/>
  <c r="L377" i="10"/>
  <c r="L375" i="10" s="1"/>
  <c r="T376" i="10"/>
  <c r="M335" i="10"/>
  <c r="M333" i="10" s="1"/>
  <c r="M336" i="10"/>
  <c r="P336" i="10" s="1"/>
  <c r="N306" i="10"/>
  <c r="L214" i="10"/>
  <c r="O214" i="10" s="1"/>
  <c r="Q188" i="10"/>
  <c r="T188" i="10" s="1"/>
  <c r="R188" i="10"/>
  <c r="U188" i="10" s="1"/>
  <c r="I172" i="10"/>
  <c r="K172" i="10" s="1"/>
  <c r="O144" i="10"/>
  <c r="S141" i="10"/>
  <c r="S139" i="10" s="1"/>
  <c r="L119" i="10"/>
  <c r="O119" i="10" s="1"/>
  <c r="T99" i="10"/>
  <c r="P64" i="10"/>
  <c r="T45" i="10"/>
  <c r="Q760" i="10"/>
  <c r="T762" i="10"/>
  <c r="N203" i="1"/>
  <c r="O203" i="1" s="1"/>
  <c r="M419" i="10"/>
  <c r="P419" i="10" s="1"/>
  <c r="P421" i="10"/>
  <c r="P176" i="6"/>
  <c r="K386" i="7"/>
  <c r="K780" i="9"/>
  <c r="L714" i="10"/>
  <c r="O714" i="10" s="1"/>
  <c r="M690" i="10"/>
  <c r="P690" i="10" s="1"/>
  <c r="P691" i="10"/>
  <c r="S645" i="10"/>
  <c r="S644" i="10"/>
  <c r="S642" i="10" s="1"/>
  <c r="P607" i="10"/>
  <c r="M605" i="10"/>
  <c r="P605" i="10" s="1"/>
  <c r="P604" i="10"/>
  <c r="M602" i="10"/>
  <c r="T600" i="10"/>
  <c r="P539" i="10"/>
  <c r="M536" i="10"/>
  <c r="P536" i="10" s="1"/>
  <c r="M415" i="10"/>
  <c r="P415" i="10" s="1"/>
  <c r="T393" i="10"/>
  <c r="U335" i="10"/>
  <c r="R333" i="10"/>
  <c r="U333" i="10" s="1"/>
  <c r="O604" i="10"/>
  <c r="N602" i="10"/>
  <c r="M175" i="10"/>
  <c r="M173" i="10" s="1"/>
  <c r="P178" i="10"/>
  <c r="M176" i="10"/>
  <c r="P176" i="10" s="1"/>
  <c r="L141" i="1"/>
  <c r="S176" i="1"/>
  <c r="U418" i="6"/>
  <c r="S618" i="8"/>
  <c r="U618" i="8" s="1"/>
  <c r="K785" i="9"/>
  <c r="K709" i="9"/>
  <c r="J702" i="9"/>
  <c r="I281" i="9"/>
  <c r="K281" i="9" s="1"/>
  <c r="N268" i="9"/>
  <c r="I221" i="9"/>
  <c r="K221" i="9" s="1"/>
  <c r="P181" i="9"/>
  <c r="P165" i="9"/>
  <c r="Q120" i="9"/>
  <c r="T122" i="9"/>
  <c r="T77" i="9"/>
  <c r="L760" i="10"/>
  <c r="O760" i="10" s="1"/>
  <c r="T733" i="10"/>
  <c r="S714" i="10"/>
  <c r="R644" i="10"/>
  <c r="U647" i="10"/>
  <c r="U621" i="10"/>
  <c r="S618" i="10"/>
  <c r="S616" i="10" s="1"/>
  <c r="S601" i="10"/>
  <c r="S599" i="10" s="1"/>
  <c r="R576" i="10"/>
  <c r="U576" i="10" s="1"/>
  <c r="U577" i="10"/>
  <c r="L540" i="10"/>
  <c r="O540" i="10" s="1"/>
  <c r="L516" i="10"/>
  <c r="O516" i="10" s="1"/>
  <c r="O518" i="10"/>
  <c r="L515" i="10"/>
  <c r="O515" i="10" s="1"/>
  <c r="I319" i="10"/>
  <c r="K319" i="10" s="1"/>
  <c r="K330" i="10"/>
  <c r="I238" i="10"/>
  <c r="K238" i="10" s="1"/>
  <c r="I242" i="10"/>
  <c r="P187" i="10"/>
  <c r="J351" i="8"/>
  <c r="K346" i="8"/>
  <c r="P176" i="8"/>
  <c r="K152" i="8"/>
  <c r="K779" i="9"/>
  <c r="K705" i="9"/>
  <c r="I701" i="9"/>
  <c r="K630" i="9"/>
  <c r="T621" i="9"/>
  <c r="P518" i="9"/>
  <c r="P501" i="9"/>
  <c r="N377" i="9"/>
  <c r="N375" i="9" s="1"/>
  <c r="O361" i="9"/>
  <c r="K346" i="9"/>
  <c r="R188" i="9"/>
  <c r="R186" i="9" s="1"/>
  <c r="T178" i="9"/>
  <c r="T147" i="9"/>
  <c r="N141" i="9"/>
  <c r="N139" i="9" s="1"/>
  <c r="U99" i="9"/>
  <c r="L65" i="9"/>
  <c r="O65" i="9" s="1"/>
  <c r="L61" i="9"/>
  <c r="L59" i="9" s="1"/>
  <c r="U761" i="10"/>
  <c r="Q731" i="10"/>
  <c r="T731" i="10" s="1"/>
  <c r="N728" i="10"/>
  <c r="R714" i="10"/>
  <c r="U714" i="10" s="1"/>
  <c r="S693" i="10"/>
  <c r="U693" i="10" s="1"/>
  <c r="S692" i="10"/>
  <c r="S690" i="10" s="1"/>
  <c r="N601" i="10"/>
  <c r="N599" i="10" s="1"/>
  <c r="Q576" i="10"/>
  <c r="T576" i="10" s="1"/>
  <c r="T577" i="10"/>
  <c r="M557" i="10"/>
  <c r="P557" i="10" s="1"/>
  <c r="U305" i="10"/>
  <c r="R303" i="10"/>
  <c r="U303" i="10" s="1"/>
  <c r="M285" i="10"/>
  <c r="P285" i="10" s="1"/>
  <c r="M284" i="10"/>
  <c r="P284" i="10" s="1"/>
  <c r="P287" i="10"/>
  <c r="I195" i="10"/>
  <c r="K195" i="10" s="1"/>
  <c r="N97" i="10"/>
  <c r="N96" i="10"/>
  <c r="N94" i="10" s="1"/>
  <c r="O73" i="10"/>
  <c r="K154" i="9"/>
  <c r="I136" i="9"/>
  <c r="K136" i="9" s="1"/>
  <c r="U600" i="10"/>
  <c r="T304" i="10"/>
  <c r="O563" i="9"/>
  <c r="L536" i="9"/>
  <c r="O536" i="9" s="1"/>
  <c r="S377" i="9"/>
  <c r="S375" i="9" s="1"/>
  <c r="O328" i="9"/>
  <c r="L268" i="9"/>
  <c r="L203" i="9"/>
  <c r="O203" i="9" s="1"/>
  <c r="Q173" i="9"/>
  <c r="T173" i="9" s="1"/>
  <c r="P147" i="9"/>
  <c r="M141" i="9"/>
  <c r="R730" i="10"/>
  <c r="U733" i="10"/>
  <c r="M728" i="10"/>
  <c r="P728" i="10" s="1"/>
  <c r="P729" i="10"/>
  <c r="R692" i="10"/>
  <c r="U695" i="10"/>
  <c r="T619" i="10"/>
  <c r="M601" i="10"/>
  <c r="O600" i="10"/>
  <c r="P563" i="10"/>
  <c r="M561" i="10"/>
  <c r="P561" i="10" s="1"/>
  <c r="T535" i="10"/>
  <c r="Q534" i="10"/>
  <c r="T534" i="10" s="1"/>
  <c r="Q413" i="10"/>
  <c r="T413" i="10" s="1"/>
  <c r="T414" i="10"/>
  <c r="O287" i="10"/>
  <c r="L285" i="10"/>
  <c r="O285" i="10" s="1"/>
  <c r="L284" i="10"/>
  <c r="O284" i="10" s="1"/>
  <c r="L160" i="10"/>
  <c r="O160" i="10" s="1"/>
  <c r="L159" i="10"/>
  <c r="O159" i="10" s="1"/>
  <c r="O162" i="10"/>
  <c r="P118" i="10"/>
  <c r="L100" i="10"/>
  <c r="O100" i="10" s="1"/>
  <c r="L26" i="10"/>
  <c r="O102" i="10"/>
  <c r="M714" i="10"/>
  <c r="P714" i="10" s="1"/>
  <c r="P715" i="10"/>
  <c r="O577" i="10"/>
  <c r="O338" i="10"/>
  <c r="L336" i="10"/>
  <c r="O336" i="10" s="1"/>
  <c r="L335" i="10"/>
  <c r="L75" i="6"/>
  <c r="O75" i="6" s="1"/>
  <c r="M557" i="8"/>
  <c r="P557" i="8" s="1"/>
  <c r="O542" i="8"/>
  <c r="S188" i="8"/>
  <c r="S186" i="8" s="1"/>
  <c r="K778" i="9"/>
  <c r="N557" i="9"/>
  <c r="N555" i="9" s="1"/>
  <c r="L540" i="9"/>
  <c r="O540" i="9" s="1"/>
  <c r="T397" i="9"/>
  <c r="M381" i="9"/>
  <c r="P381" i="9" s="1"/>
  <c r="M377" i="9"/>
  <c r="M375" i="9" s="1"/>
  <c r="P375" i="9" s="1"/>
  <c r="P338" i="9"/>
  <c r="P290" i="9"/>
  <c r="N188" i="9"/>
  <c r="N186" i="9" s="1"/>
  <c r="P80" i="9"/>
  <c r="K774" i="10"/>
  <c r="U765" i="10"/>
  <c r="S763" i="10"/>
  <c r="L728" i="10"/>
  <c r="O728" i="10" s="1"/>
  <c r="N714" i="10"/>
  <c r="I689" i="10"/>
  <c r="K689" i="10" s="1"/>
  <c r="K707" i="10"/>
  <c r="M642" i="10"/>
  <c r="P642" i="10" s="1"/>
  <c r="P643" i="10"/>
  <c r="P581" i="10"/>
  <c r="M579" i="10"/>
  <c r="P579" i="10" s="1"/>
  <c r="N578" i="10"/>
  <c r="N576" i="10" s="1"/>
  <c r="M537" i="10"/>
  <c r="P537" i="10" s="1"/>
  <c r="N495" i="10"/>
  <c r="N493" i="10" s="1"/>
  <c r="K423" i="10"/>
  <c r="I412" i="10"/>
  <c r="K412" i="10" s="1"/>
  <c r="S160" i="10"/>
  <c r="S159" i="10"/>
  <c r="S157" i="10" s="1"/>
  <c r="Q120" i="10"/>
  <c r="Q119" i="10"/>
  <c r="T122" i="10"/>
  <c r="R74" i="9"/>
  <c r="R72" i="9" s="1"/>
  <c r="K630" i="10"/>
  <c r="K626" i="10"/>
  <c r="P600" i="10"/>
  <c r="P577" i="10"/>
  <c r="O560" i="10"/>
  <c r="S555" i="10"/>
  <c r="L536" i="10"/>
  <c r="O521" i="10"/>
  <c r="U494" i="10"/>
  <c r="L419" i="10"/>
  <c r="O419" i="10" s="1"/>
  <c r="N415" i="10"/>
  <c r="N413" i="10" s="1"/>
  <c r="L415" i="10"/>
  <c r="R392" i="10"/>
  <c r="U392" i="10" s="1"/>
  <c r="P361" i="10"/>
  <c r="N359" i="10"/>
  <c r="N358" i="10"/>
  <c r="N356" i="10" s="1"/>
  <c r="P357" i="10"/>
  <c r="T335" i="10"/>
  <c r="Q333" i="10"/>
  <c r="T333" i="10" s="1"/>
  <c r="P311" i="10"/>
  <c r="M309" i="10"/>
  <c r="P309" i="10" s="1"/>
  <c r="P308" i="10"/>
  <c r="M306" i="10"/>
  <c r="P306" i="10" s="1"/>
  <c r="M305" i="10"/>
  <c r="N268" i="10"/>
  <c r="N266" i="10" s="1"/>
  <c r="N269" i="10"/>
  <c r="L254" i="10"/>
  <c r="O254" i="10" s="1"/>
  <c r="S175" i="10"/>
  <c r="S173" i="10" s="1"/>
  <c r="S176" i="10"/>
  <c r="K629" i="10"/>
  <c r="P542" i="10"/>
  <c r="K504" i="10"/>
  <c r="R496" i="10"/>
  <c r="U496" i="10" s="1"/>
  <c r="R495" i="10"/>
  <c r="U495" i="10" s="1"/>
  <c r="O357" i="10"/>
  <c r="J332" i="10"/>
  <c r="J343" i="10"/>
  <c r="O311" i="10"/>
  <c r="L309" i="10"/>
  <c r="O309" i="10" s="1"/>
  <c r="O308" i="10"/>
  <c r="L306" i="10"/>
  <c r="O306" i="10" s="1"/>
  <c r="L305" i="10"/>
  <c r="O158" i="10"/>
  <c r="Q555" i="10"/>
  <c r="T555" i="10" s="1"/>
  <c r="Q495" i="10"/>
  <c r="T495" i="10" s="1"/>
  <c r="S415" i="10"/>
  <c r="S413" i="10" s="1"/>
  <c r="S394" i="10"/>
  <c r="S392" i="10" s="1"/>
  <c r="I332" i="10"/>
  <c r="K344" i="10"/>
  <c r="N335" i="10"/>
  <c r="N333" i="10" s="1"/>
  <c r="I302" i="10"/>
  <c r="K302" i="10" s="1"/>
  <c r="K293" i="10"/>
  <c r="I280" i="10"/>
  <c r="K280" i="10" s="1"/>
  <c r="P191" i="10"/>
  <c r="N188" i="10"/>
  <c r="N189" i="10"/>
  <c r="P189" i="10" s="1"/>
  <c r="K153" i="10"/>
  <c r="I138" i="10"/>
  <c r="K138" i="10" s="1"/>
  <c r="Q123" i="10"/>
  <c r="T123" i="10" s="1"/>
  <c r="T125" i="10"/>
  <c r="M519" i="10"/>
  <c r="P519" i="10" s="1"/>
  <c r="R416" i="10"/>
  <c r="U416" i="10" s="1"/>
  <c r="R415" i="10"/>
  <c r="L392" i="10"/>
  <c r="O392" i="10" s="1"/>
  <c r="O364" i="10"/>
  <c r="L362" i="10"/>
  <c r="O362" i="10" s="1"/>
  <c r="R356" i="10"/>
  <c r="U356" i="10" s="1"/>
  <c r="U357" i="10"/>
  <c r="P328" i="10"/>
  <c r="M326" i="10"/>
  <c r="P326" i="10" s="1"/>
  <c r="T322" i="10"/>
  <c r="Q320" i="10"/>
  <c r="T320" i="10" s="1"/>
  <c r="U308" i="10"/>
  <c r="R306" i="10"/>
  <c r="U306" i="10" s="1"/>
  <c r="P283" i="10"/>
  <c r="L222" i="10"/>
  <c r="O222" i="10" s="1"/>
  <c r="P162" i="10"/>
  <c r="M160" i="10"/>
  <c r="P160" i="10" s="1"/>
  <c r="M159" i="10"/>
  <c r="U158" i="10"/>
  <c r="R120" i="10"/>
  <c r="R119" i="10"/>
  <c r="U122" i="10"/>
  <c r="N536" i="10"/>
  <c r="N534" i="10" s="1"/>
  <c r="M515" i="10"/>
  <c r="P515" i="10" s="1"/>
  <c r="K503" i="10"/>
  <c r="T397" i="10"/>
  <c r="Q394" i="10"/>
  <c r="T394" i="10" s="1"/>
  <c r="U380" i="10"/>
  <c r="O380" i="10"/>
  <c r="P338" i="10"/>
  <c r="O325" i="10"/>
  <c r="Q305" i="10"/>
  <c r="T305" i="10" s="1"/>
  <c r="S282" i="10"/>
  <c r="O274" i="10"/>
  <c r="T271" i="10"/>
  <c r="P271" i="10"/>
  <c r="Q268" i="10"/>
  <c r="I265" i="10"/>
  <c r="K265" i="10" s="1"/>
  <c r="L233" i="10"/>
  <c r="O194" i="10"/>
  <c r="O165" i="10"/>
  <c r="Q160" i="10"/>
  <c r="T160" i="10" s="1"/>
  <c r="O125" i="10"/>
  <c r="U118" i="10"/>
  <c r="L97" i="10"/>
  <c r="O97" i="10" s="1"/>
  <c r="L23" i="10"/>
  <c r="L96" i="10"/>
  <c r="O96" i="10" s="1"/>
  <c r="N78" i="10"/>
  <c r="N74" i="10"/>
  <c r="N72" i="10" s="1"/>
  <c r="S75" i="10"/>
  <c r="S23" i="10"/>
  <c r="S74" i="10"/>
  <c r="S72" i="10" s="1"/>
  <c r="P65" i="10"/>
  <c r="R59" i="10"/>
  <c r="U59" i="10" s="1"/>
  <c r="L358" i="10"/>
  <c r="N322" i="10"/>
  <c r="N320" i="10" s="1"/>
  <c r="I213" i="10"/>
  <c r="K213" i="10" s="1"/>
  <c r="K220" i="10"/>
  <c r="R97" i="10"/>
  <c r="U97" i="10" s="1"/>
  <c r="R23" i="10"/>
  <c r="K84" i="10"/>
  <c r="I82" i="10"/>
  <c r="L234" i="10"/>
  <c r="J231" i="10"/>
  <c r="J185" i="10" s="1"/>
  <c r="N163" i="10"/>
  <c r="R141" i="10"/>
  <c r="K109" i="10"/>
  <c r="I93" i="10"/>
  <c r="K93" i="10" s="1"/>
  <c r="O45" i="10"/>
  <c r="S19" i="10"/>
  <c r="R282" i="10"/>
  <c r="U282" i="10" s="1"/>
  <c r="I253" i="10"/>
  <c r="K253" i="10" s="1"/>
  <c r="K260" i="10"/>
  <c r="Q176" i="10"/>
  <c r="T176" i="10" s="1"/>
  <c r="L141" i="10"/>
  <c r="P140" i="10"/>
  <c r="I83" i="10"/>
  <c r="N62" i="10"/>
  <c r="O64" i="10"/>
  <c r="N61" i="10"/>
  <c r="U162" i="10"/>
  <c r="R159" i="10"/>
  <c r="U159" i="10" s="1"/>
  <c r="Q157" i="10"/>
  <c r="T157" i="10" s="1"/>
  <c r="P144" i="10"/>
  <c r="U125" i="10"/>
  <c r="O122" i="10"/>
  <c r="S78" i="10"/>
  <c r="S26" i="10"/>
  <c r="S24" i="10" s="1"/>
  <c r="N26" i="10"/>
  <c r="N24" i="10" s="1"/>
  <c r="N47" i="10"/>
  <c r="N23" i="10"/>
  <c r="O49" i="10"/>
  <c r="R44" i="10"/>
  <c r="U44" i="10" s="1"/>
  <c r="R26" i="10"/>
  <c r="M26" i="10"/>
  <c r="M50" i="10"/>
  <c r="P50" i="10" s="1"/>
  <c r="M47" i="10"/>
  <c r="M23" i="10"/>
  <c r="M21" i="10" s="1"/>
  <c r="Q26" i="10"/>
  <c r="P22" i="10"/>
  <c r="M19" i="10"/>
  <c r="M141" i="10"/>
  <c r="P141" i="10" s="1"/>
  <c r="M46" i="10"/>
  <c r="M119" i="10"/>
  <c r="P119" i="10" s="1"/>
  <c r="M96" i="10"/>
  <c r="Q78" i="10"/>
  <c r="T78" i="10" s="1"/>
  <c r="Q75" i="10"/>
  <c r="T75" i="10" s="1"/>
  <c r="N50" i="10"/>
  <c r="R19" i="10"/>
  <c r="L19" i="10"/>
  <c r="Q19" i="10"/>
  <c r="Q23" i="10"/>
  <c r="M557" i="9"/>
  <c r="M555" i="9" s="1"/>
  <c r="P555" i="9" s="1"/>
  <c r="K92" i="9"/>
  <c r="K782" i="8"/>
  <c r="J702" i="8"/>
  <c r="L415" i="8"/>
  <c r="L413" i="8" s="1"/>
  <c r="N377" i="8"/>
  <c r="N375" i="8" s="1"/>
  <c r="K220" i="8"/>
  <c r="K109" i="8"/>
  <c r="U731" i="9"/>
  <c r="N642" i="9"/>
  <c r="O617" i="9"/>
  <c r="T577" i="9"/>
  <c r="O539" i="9"/>
  <c r="S513" i="9"/>
  <c r="K503" i="9"/>
  <c r="N495" i="9"/>
  <c r="N493" i="9" s="1"/>
  <c r="M495" i="9"/>
  <c r="P495" i="9" s="1"/>
  <c r="S496" i="9"/>
  <c r="R378" i="9"/>
  <c r="U378" i="9" s="1"/>
  <c r="O341" i="9"/>
  <c r="I265" i="9"/>
  <c r="K265" i="9" s="1"/>
  <c r="N232" i="9"/>
  <c r="K220" i="9"/>
  <c r="S188" i="9"/>
  <c r="S186" i="9" s="1"/>
  <c r="N175" i="9"/>
  <c r="N173" i="9" s="1"/>
  <c r="M175" i="9"/>
  <c r="P175" i="9" s="1"/>
  <c r="S176" i="9"/>
  <c r="T174" i="9"/>
  <c r="Q160" i="9"/>
  <c r="T160" i="9" s="1"/>
  <c r="Q157" i="9"/>
  <c r="T157" i="9" s="1"/>
  <c r="L145" i="9"/>
  <c r="O145" i="9" s="1"/>
  <c r="T123" i="9"/>
  <c r="K108" i="9"/>
  <c r="T99" i="9"/>
  <c r="M97" i="9"/>
  <c r="I82" i="9"/>
  <c r="P47" i="9"/>
  <c r="Q44" i="9"/>
  <c r="T44" i="9" s="1"/>
  <c r="O271" i="6"/>
  <c r="K371" i="8"/>
  <c r="K368" i="8"/>
  <c r="Q145" i="8"/>
  <c r="T145" i="8" s="1"/>
  <c r="Q142" i="8"/>
  <c r="T142" i="8" s="1"/>
  <c r="T762" i="9"/>
  <c r="L760" i="9"/>
  <c r="O760" i="9" s="1"/>
  <c r="M728" i="9"/>
  <c r="P728" i="9" s="1"/>
  <c r="K707" i="9"/>
  <c r="R693" i="9"/>
  <c r="L690" i="9"/>
  <c r="O690" i="9" s="1"/>
  <c r="M642" i="9"/>
  <c r="P642" i="9" s="1"/>
  <c r="Q618" i="9"/>
  <c r="Q616" i="9" s="1"/>
  <c r="S576" i="9"/>
  <c r="R576" i="9"/>
  <c r="U576" i="9" s="1"/>
  <c r="N558" i="9"/>
  <c r="P542" i="9"/>
  <c r="L537" i="9"/>
  <c r="O537" i="9" s="1"/>
  <c r="J503" i="9"/>
  <c r="J492" i="9" s="1"/>
  <c r="Q496" i="9"/>
  <c r="T496" i="9" s="1"/>
  <c r="P494" i="9"/>
  <c r="P418" i="9"/>
  <c r="L392" i="9"/>
  <c r="O392" i="9" s="1"/>
  <c r="S356" i="9"/>
  <c r="R356" i="9"/>
  <c r="U356" i="9" s="1"/>
  <c r="K344" i="9"/>
  <c r="M335" i="9"/>
  <c r="K330" i="9"/>
  <c r="N323" i="9"/>
  <c r="L322" i="9"/>
  <c r="O322" i="9" s="1"/>
  <c r="R320" i="9"/>
  <c r="U320" i="9" s="1"/>
  <c r="T308" i="9"/>
  <c r="N306" i="9"/>
  <c r="T268" i="9"/>
  <c r="L236" i="9"/>
  <c r="Q176" i="9"/>
  <c r="T176" i="9" s="1"/>
  <c r="S173" i="9"/>
  <c r="L163" i="9"/>
  <c r="O163" i="9" s="1"/>
  <c r="L141" i="9"/>
  <c r="L139" i="9" s="1"/>
  <c r="L142" i="9"/>
  <c r="I138" i="9"/>
  <c r="K138" i="9" s="1"/>
  <c r="M119" i="9"/>
  <c r="P119" i="9" s="1"/>
  <c r="N96" i="9"/>
  <c r="N94" i="9" s="1"/>
  <c r="Q203" i="1"/>
  <c r="M616" i="9"/>
  <c r="P616" i="9" s="1"/>
  <c r="K346" i="6"/>
  <c r="L339" i="7"/>
  <c r="O339" i="7" s="1"/>
  <c r="U271" i="7"/>
  <c r="P518" i="8"/>
  <c r="S763" i="9"/>
  <c r="S760" i="9"/>
  <c r="Q760" i="9"/>
  <c r="S619" i="9"/>
  <c r="T604" i="9"/>
  <c r="Q602" i="9"/>
  <c r="T602" i="9" s="1"/>
  <c r="P563" i="9"/>
  <c r="R555" i="9"/>
  <c r="U555" i="9" s="1"/>
  <c r="M536" i="9"/>
  <c r="P536" i="9" s="1"/>
  <c r="M496" i="9"/>
  <c r="P496" i="9" s="1"/>
  <c r="M416" i="9"/>
  <c r="P416" i="9" s="1"/>
  <c r="R394" i="9"/>
  <c r="U394" i="9" s="1"/>
  <c r="M378" i="9"/>
  <c r="P378" i="9" s="1"/>
  <c r="P361" i="9"/>
  <c r="S305" i="9"/>
  <c r="S303" i="9" s="1"/>
  <c r="K198" i="9"/>
  <c r="T194" i="9"/>
  <c r="U162" i="9"/>
  <c r="O162" i="9"/>
  <c r="R141" i="9"/>
  <c r="R139" i="9" s="1"/>
  <c r="L62" i="9"/>
  <c r="R619" i="8"/>
  <c r="U619" i="8" s="1"/>
  <c r="J343" i="8"/>
  <c r="P189" i="8"/>
  <c r="K169" i="8"/>
  <c r="O99" i="8"/>
  <c r="Q763" i="9"/>
  <c r="S730" i="9"/>
  <c r="S728" i="9" s="1"/>
  <c r="S714" i="9"/>
  <c r="N690" i="9"/>
  <c r="R642" i="9"/>
  <c r="U642" i="9" s="1"/>
  <c r="Q619" i="9"/>
  <c r="N601" i="9"/>
  <c r="N599" i="9" s="1"/>
  <c r="L578" i="9"/>
  <c r="L576" i="9" s="1"/>
  <c r="Q534" i="9"/>
  <c r="T534" i="9" s="1"/>
  <c r="N515" i="9"/>
  <c r="N513" i="9" s="1"/>
  <c r="N516" i="9"/>
  <c r="M415" i="9"/>
  <c r="M413" i="9" s="1"/>
  <c r="P394" i="9"/>
  <c r="N335" i="9"/>
  <c r="N333" i="9" s="1"/>
  <c r="N336" i="9"/>
  <c r="M322" i="9"/>
  <c r="P322" i="9" s="1"/>
  <c r="L323" i="9"/>
  <c r="O323" i="9" s="1"/>
  <c r="P271" i="9"/>
  <c r="S269" i="9"/>
  <c r="M176" i="9"/>
  <c r="P176" i="9" s="1"/>
  <c r="T162" i="9"/>
  <c r="N159" i="9"/>
  <c r="N157" i="9" s="1"/>
  <c r="L159" i="9"/>
  <c r="O159" i="9" s="1"/>
  <c r="P125" i="9"/>
  <c r="P75" i="9"/>
  <c r="R75" i="9"/>
  <c r="U75" i="9" s="1"/>
  <c r="R59" i="9"/>
  <c r="U59" i="9" s="1"/>
  <c r="U22" i="9"/>
  <c r="I759" i="9"/>
  <c r="K759" i="9" s="1"/>
  <c r="K330" i="4"/>
  <c r="L377" i="7"/>
  <c r="L375" i="7" s="1"/>
  <c r="K330" i="7"/>
  <c r="K780" i="8"/>
  <c r="P563" i="8"/>
  <c r="K386" i="8"/>
  <c r="K575" i="9"/>
  <c r="M515" i="9"/>
  <c r="P515" i="9" s="1"/>
  <c r="P498" i="9"/>
  <c r="J457" i="9"/>
  <c r="K457" i="9" s="1"/>
  <c r="U397" i="9"/>
  <c r="R377" i="9"/>
  <c r="U377" i="9" s="1"/>
  <c r="K368" i="9"/>
  <c r="L358" i="9"/>
  <c r="L356" i="9" s="1"/>
  <c r="K293" i="9"/>
  <c r="M272" i="9"/>
  <c r="P272" i="9" s="1"/>
  <c r="N269" i="9"/>
  <c r="L233" i="9"/>
  <c r="L214" i="9"/>
  <c r="O214" i="9" s="1"/>
  <c r="T189" i="9"/>
  <c r="P178" i="9"/>
  <c r="K169" i="9"/>
  <c r="M159" i="9"/>
  <c r="P159" i="9" s="1"/>
  <c r="O144" i="9"/>
  <c r="Q119" i="9"/>
  <c r="K109" i="9"/>
  <c r="L74" i="9"/>
  <c r="L72" i="9" s="1"/>
  <c r="L75" i="9"/>
  <c r="O75" i="9" s="1"/>
  <c r="S59" i="9"/>
  <c r="Q59" i="9"/>
  <c r="T59" i="9" s="1"/>
  <c r="P49" i="9"/>
  <c r="L47" i="9"/>
  <c r="O47" i="9" s="1"/>
  <c r="L19" i="9"/>
  <c r="Q731" i="9"/>
  <c r="T731" i="9" s="1"/>
  <c r="Q730" i="9"/>
  <c r="T733" i="9"/>
  <c r="Q690" i="9"/>
  <c r="R495" i="9"/>
  <c r="U495" i="9" s="1"/>
  <c r="U498" i="9"/>
  <c r="R496" i="9"/>
  <c r="U496" i="9" s="1"/>
  <c r="R145" i="2"/>
  <c r="U145" i="2" s="1"/>
  <c r="U147" i="2"/>
  <c r="P274" i="8"/>
  <c r="M272" i="8"/>
  <c r="P272" i="8" s="1"/>
  <c r="L728" i="9"/>
  <c r="O728" i="9" s="1"/>
  <c r="O729" i="9"/>
  <c r="S645" i="9"/>
  <c r="S644" i="9"/>
  <c r="S642" i="9" s="1"/>
  <c r="O600" i="9"/>
  <c r="M578" i="9"/>
  <c r="M576" i="9" s="1"/>
  <c r="P514" i="9"/>
  <c r="Q493" i="9"/>
  <c r="T493" i="9" s="1"/>
  <c r="T495" i="9"/>
  <c r="R214" i="1"/>
  <c r="U618" i="9"/>
  <c r="R616" i="9"/>
  <c r="R160" i="2"/>
  <c r="U160" i="2" s="1"/>
  <c r="U162" i="2"/>
  <c r="U729" i="9"/>
  <c r="J615" i="9"/>
  <c r="K626" i="9"/>
  <c r="U600" i="9"/>
  <c r="P584" i="9"/>
  <c r="M582" i="9"/>
  <c r="P582" i="9" s="1"/>
  <c r="P560" i="9"/>
  <c r="M558" i="9"/>
  <c r="P558" i="9" s="1"/>
  <c r="L515" i="9"/>
  <c r="O515" i="9" s="1"/>
  <c r="O518" i="9"/>
  <c r="L516" i="9"/>
  <c r="O516" i="9" s="1"/>
  <c r="O383" i="9"/>
  <c r="L381" i="9"/>
  <c r="O381" i="9" s="1"/>
  <c r="L377" i="9"/>
  <c r="L97" i="7"/>
  <c r="O97" i="7" s="1"/>
  <c r="O99" i="7"/>
  <c r="P290" i="8"/>
  <c r="M288" i="8"/>
  <c r="P288" i="8" s="1"/>
  <c r="P125" i="8"/>
  <c r="M123" i="8"/>
  <c r="P123" i="8" s="1"/>
  <c r="I758" i="9"/>
  <c r="K758" i="9" s="1"/>
  <c r="K772" i="9"/>
  <c r="R763" i="9"/>
  <c r="R762" i="9"/>
  <c r="U762" i="9" s="1"/>
  <c r="U765" i="9"/>
  <c r="L714" i="9"/>
  <c r="O714" i="9" s="1"/>
  <c r="O715" i="9"/>
  <c r="T644" i="9"/>
  <c r="Q642" i="9"/>
  <c r="T642" i="9" s="1"/>
  <c r="K385" i="9"/>
  <c r="I374" i="9"/>
  <c r="K374" i="9" s="1"/>
  <c r="Q378" i="9"/>
  <c r="T378" i="9" s="1"/>
  <c r="Q377" i="9"/>
  <c r="T377" i="9" s="1"/>
  <c r="T380" i="9"/>
  <c r="O560" i="8"/>
  <c r="L558" i="8"/>
  <c r="O558" i="8" s="1"/>
  <c r="M760" i="9"/>
  <c r="P760" i="9" s="1"/>
  <c r="P761" i="9"/>
  <c r="K727" i="9"/>
  <c r="R714" i="9"/>
  <c r="U714" i="9" s="1"/>
  <c r="U715" i="9"/>
  <c r="S693" i="9"/>
  <c r="S692" i="9"/>
  <c r="S690" i="9" s="1"/>
  <c r="U690" i="9" s="1"/>
  <c r="J674" i="9"/>
  <c r="Q555" i="9"/>
  <c r="T555" i="9" s="1"/>
  <c r="T556" i="9"/>
  <c r="N537" i="9"/>
  <c r="N536" i="9"/>
  <c r="N534" i="9" s="1"/>
  <c r="O494" i="9"/>
  <c r="N419" i="9"/>
  <c r="N415" i="9"/>
  <c r="O418" i="9"/>
  <c r="L415" i="9"/>
  <c r="L413" i="9" s="1"/>
  <c r="L416" i="9"/>
  <c r="O416" i="9" s="1"/>
  <c r="T376" i="9"/>
  <c r="S731" i="7"/>
  <c r="U731" i="7" s="1"/>
  <c r="S730" i="7"/>
  <c r="T730" i="7" s="1"/>
  <c r="U607" i="8"/>
  <c r="R605" i="8"/>
  <c r="U605" i="8" s="1"/>
  <c r="O579" i="9"/>
  <c r="L495" i="9"/>
  <c r="O495" i="9" s="1"/>
  <c r="O498" i="9"/>
  <c r="U494" i="9"/>
  <c r="S415" i="9"/>
  <c r="S413" i="9" s="1"/>
  <c r="S416" i="9"/>
  <c r="T416" i="9" s="1"/>
  <c r="P364" i="9"/>
  <c r="M362" i="9"/>
  <c r="P362" i="9" s="1"/>
  <c r="O308" i="9"/>
  <c r="L306" i="9"/>
  <c r="P287" i="9"/>
  <c r="M285" i="9"/>
  <c r="P285" i="9" s="1"/>
  <c r="K230" i="9"/>
  <c r="K781" i="4"/>
  <c r="K778" i="4"/>
  <c r="J351" i="5"/>
  <c r="K772" i="8"/>
  <c r="K369" i="8"/>
  <c r="K198" i="8"/>
  <c r="L119" i="8"/>
  <c r="O119" i="8" s="1"/>
  <c r="Q693" i="9"/>
  <c r="Q645" i="9"/>
  <c r="T645" i="9" s="1"/>
  <c r="R619" i="9"/>
  <c r="S601" i="9"/>
  <c r="S599" i="9" s="1"/>
  <c r="M601" i="9"/>
  <c r="P601" i="9" s="1"/>
  <c r="O581" i="9"/>
  <c r="L557" i="9"/>
  <c r="O557" i="9" s="1"/>
  <c r="M537" i="9"/>
  <c r="P537" i="9" s="1"/>
  <c r="U418" i="9"/>
  <c r="S395" i="9"/>
  <c r="J351" i="9"/>
  <c r="L305" i="9"/>
  <c r="I302" i="9"/>
  <c r="K302" i="9" s="1"/>
  <c r="O287" i="9"/>
  <c r="L285" i="9"/>
  <c r="O285" i="9" s="1"/>
  <c r="M284" i="9"/>
  <c r="K202" i="9"/>
  <c r="K365" i="9"/>
  <c r="O338" i="9"/>
  <c r="L336" i="9"/>
  <c r="M336" i="9"/>
  <c r="U308" i="9"/>
  <c r="R306" i="9"/>
  <c r="U306" i="9" s="1"/>
  <c r="O304" i="9"/>
  <c r="L284" i="9"/>
  <c r="O284" i="9" s="1"/>
  <c r="I238" i="9"/>
  <c r="K238" i="9" s="1"/>
  <c r="I242" i="9"/>
  <c r="R601" i="9"/>
  <c r="U601" i="9" s="1"/>
  <c r="K780" i="7"/>
  <c r="K369" i="7"/>
  <c r="L582" i="8"/>
  <c r="O582" i="8" s="1"/>
  <c r="N378" i="8"/>
  <c r="O378" i="8" s="1"/>
  <c r="L268" i="8"/>
  <c r="L266" i="8" s="1"/>
  <c r="R269" i="8"/>
  <c r="N188" i="8"/>
  <c r="N186" i="8" s="1"/>
  <c r="S173" i="8"/>
  <c r="S160" i="8"/>
  <c r="R119" i="8"/>
  <c r="R117" i="8" s="1"/>
  <c r="K629" i="9"/>
  <c r="M605" i="9"/>
  <c r="P605" i="9" s="1"/>
  <c r="M602" i="9"/>
  <c r="P602" i="9" s="1"/>
  <c r="L582" i="9"/>
  <c r="O582" i="9" s="1"/>
  <c r="L558" i="9"/>
  <c r="O558" i="9" s="1"/>
  <c r="M419" i="9"/>
  <c r="P419" i="9" s="1"/>
  <c r="N378" i="9"/>
  <c r="K371" i="9"/>
  <c r="U304" i="9"/>
  <c r="U271" i="9"/>
  <c r="R269" i="9"/>
  <c r="R268" i="9"/>
  <c r="Q266" i="9"/>
  <c r="T266" i="9" s="1"/>
  <c r="T267" i="9"/>
  <c r="P191" i="9"/>
  <c r="M189" i="9"/>
  <c r="M188" i="9"/>
  <c r="O178" i="9"/>
  <c r="L176" i="9"/>
  <c r="O176" i="9" s="1"/>
  <c r="L175" i="9"/>
  <c r="O175" i="9" s="1"/>
  <c r="S188" i="7"/>
  <c r="S186" i="7" s="1"/>
  <c r="L601" i="9"/>
  <c r="O601" i="9" s="1"/>
  <c r="N578" i="9"/>
  <c r="S645" i="5"/>
  <c r="S644" i="7"/>
  <c r="S642" i="7" s="1"/>
  <c r="T765" i="9"/>
  <c r="U761" i="9"/>
  <c r="O761" i="9"/>
  <c r="T729" i="9"/>
  <c r="T715" i="9"/>
  <c r="U695" i="9"/>
  <c r="P691" i="9"/>
  <c r="U647" i="9"/>
  <c r="P643" i="9"/>
  <c r="I615" i="9"/>
  <c r="K615" i="9" s="1"/>
  <c r="R605" i="9"/>
  <c r="U605" i="9" s="1"/>
  <c r="L605" i="9"/>
  <c r="O605" i="9" s="1"/>
  <c r="R602" i="9"/>
  <c r="U602" i="9" s="1"/>
  <c r="L602" i="9"/>
  <c r="O602" i="9" s="1"/>
  <c r="T600" i="9"/>
  <c r="P577" i="9"/>
  <c r="P539" i="9"/>
  <c r="R513" i="9"/>
  <c r="U513" i="9" s="1"/>
  <c r="T498" i="9"/>
  <c r="L419" i="9"/>
  <c r="O419" i="9" s="1"/>
  <c r="R415" i="9"/>
  <c r="U414" i="9"/>
  <c r="O414" i="9"/>
  <c r="U393" i="9"/>
  <c r="O393" i="9"/>
  <c r="J332" i="9"/>
  <c r="K332" i="9" s="1"/>
  <c r="J343" i="9"/>
  <c r="U335" i="9"/>
  <c r="R333" i="9"/>
  <c r="U333" i="9" s="1"/>
  <c r="P328" i="9"/>
  <c r="M326" i="9"/>
  <c r="P326" i="9" s="1"/>
  <c r="T322" i="9"/>
  <c r="Q320" i="9"/>
  <c r="T320" i="9" s="1"/>
  <c r="P311" i="9"/>
  <c r="M309" i="9"/>
  <c r="P309" i="9" s="1"/>
  <c r="T304" i="9"/>
  <c r="T271" i="9"/>
  <c r="Q269" i="9"/>
  <c r="N189" i="9"/>
  <c r="O181" i="9"/>
  <c r="L179" i="9"/>
  <c r="O179" i="9" s="1"/>
  <c r="R175" i="9"/>
  <c r="U175" i="9" s="1"/>
  <c r="U178" i="9"/>
  <c r="O338" i="6"/>
  <c r="N61" i="8"/>
  <c r="N59" i="8" s="1"/>
  <c r="L499" i="9"/>
  <c r="O499" i="9" s="1"/>
  <c r="P539" i="6"/>
  <c r="S645" i="8"/>
  <c r="J374" i="8"/>
  <c r="N119" i="8"/>
  <c r="N117" i="8" s="1"/>
  <c r="T695" i="9"/>
  <c r="T647" i="9"/>
  <c r="U621" i="9"/>
  <c r="T418" i="9"/>
  <c r="Q415" i="9"/>
  <c r="T414" i="9"/>
  <c r="Q394" i="9"/>
  <c r="T394" i="9" s="1"/>
  <c r="T393" i="9"/>
  <c r="L378" i="9"/>
  <c r="O378" i="9" s="1"/>
  <c r="N359" i="9"/>
  <c r="P359" i="9" s="1"/>
  <c r="N358" i="9"/>
  <c r="O311" i="9"/>
  <c r="L309" i="9"/>
  <c r="O309" i="9" s="1"/>
  <c r="P308" i="9"/>
  <c r="M306" i="9"/>
  <c r="R305" i="9"/>
  <c r="U194" i="9"/>
  <c r="R192" i="9"/>
  <c r="U192" i="9" s="1"/>
  <c r="O364" i="9"/>
  <c r="L362" i="9"/>
  <c r="O362" i="9" s="1"/>
  <c r="P357" i="9"/>
  <c r="Q333" i="9"/>
  <c r="T333" i="9" s="1"/>
  <c r="T334" i="9"/>
  <c r="O283" i="9"/>
  <c r="M269" i="9"/>
  <c r="L243" i="9"/>
  <c r="L222" i="9"/>
  <c r="O222" i="9" s="1"/>
  <c r="T191" i="9"/>
  <c r="O191" i="9"/>
  <c r="L189" i="9"/>
  <c r="N179" i="9"/>
  <c r="P174" i="9"/>
  <c r="N160" i="9"/>
  <c r="M142" i="9"/>
  <c r="P144" i="9"/>
  <c r="N26" i="9"/>
  <c r="N24" i="9" s="1"/>
  <c r="U19" i="9"/>
  <c r="R282" i="9"/>
  <c r="U282" i="9" s="1"/>
  <c r="U283" i="9"/>
  <c r="L234" i="9"/>
  <c r="P194" i="9"/>
  <c r="M192" i="9"/>
  <c r="P192" i="9" s="1"/>
  <c r="T187" i="9"/>
  <c r="U144" i="9"/>
  <c r="S142" i="9"/>
  <c r="U142" i="9" s="1"/>
  <c r="O125" i="9"/>
  <c r="L123" i="9"/>
  <c r="O123" i="9" s="1"/>
  <c r="Q26" i="9"/>
  <c r="S19" i="9"/>
  <c r="Q282" i="9"/>
  <c r="T282" i="9" s="1"/>
  <c r="T283" i="9"/>
  <c r="O274" i="9"/>
  <c r="L272" i="9"/>
  <c r="O272" i="9" s="1"/>
  <c r="O271" i="9"/>
  <c r="L269" i="9"/>
  <c r="O194" i="9"/>
  <c r="L192" i="9"/>
  <c r="O192" i="9" s="1"/>
  <c r="U191" i="9"/>
  <c r="R189" i="9"/>
  <c r="U189" i="9" s="1"/>
  <c r="P158" i="9"/>
  <c r="U125" i="9"/>
  <c r="R123" i="9"/>
  <c r="U123" i="9" s="1"/>
  <c r="K87" i="9"/>
  <c r="I83" i="9"/>
  <c r="M358" i="9"/>
  <c r="Q305" i="9"/>
  <c r="Q188" i="9"/>
  <c r="O122" i="9"/>
  <c r="L120" i="9"/>
  <c r="O120" i="9" s="1"/>
  <c r="P99" i="9"/>
  <c r="N97" i="9"/>
  <c r="P52" i="9"/>
  <c r="M26" i="9"/>
  <c r="P26" i="9" s="1"/>
  <c r="M50" i="9"/>
  <c r="P50" i="9" s="1"/>
  <c r="R159" i="9"/>
  <c r="U159" i="9" s="1"/>
  <c r="U147" i="9"/>
  <c r="S145" i="9"/>
  <c r="U145" i="9" s="1"/>
  <c r="T144" i="9"/>
  <c r="U122" i="9"/>
  <c r="R120" i="9"/>
  <c r="K93" i="9"/>
  <c r="O95" i="9"/>
  <c r="L26" i="9"/>
  <c r="P22" i="9"/>
  <c r="M19" i="9"/>
  <c r="T140" i="9"/>
  <c r="R119" i="9"/>
  <c r="O99" i="9"/>
  <c r="U95" i="9"/>
  <c r="R26" i="9"/>
  <c r="P67" i="9"/>
  <c r="M65" i="9"/>
  <c r="P65" i="9" s="1"/>
  <c r="P25" i="9"/>
  <c r="O19" i="9"/>
  <c r="U158" i="9"/>
  <c r="O158" i="9"/>
  <c r="N142" i="9"/>
  <c r="P140" i="9"/>
  <c r="K127" i="9"/>
  <c r="S120" i="9"/>
  <c r="M120" i="9"/>
  <c r="P120" i="9" s="1"/>
  <c r="U80" i="9"/>
  <c r="O80" i="9"/>
  <c r="Q78" i="9"/>
  <c r="T78" i="9" s="1"/>
  <c r="U77" i="9"/>
  <c r="O77" i="9"/>
  <c r="Q75" i="9"/>
  <c r="T75" i="9" s="1"/>
  <c r="O64" i="9"/>
  <c r="N50" i="9"/>
  <c r="O49" i="9"/>
  <c r="N23" i="9"/>
  <c r="Q141" i="9"/>
  <c r="R96" i="9"/>
  <c r="U96" i="9" s="1"/>
  <c r="L96" i="9"/>
  <c r="N74" i="9"/>
  <c r="N61" i="9"/>
  <c r="N59" i="9" s="1"/>
  <c r="N46" i="9"/>
  <c r="N44" i="9" s="1"/>
  <c r="S26" i="9"/>
  <c r="S24" i="9" s="1"/>
  <c r="S23" i="9"/>
  <c r="S21" i="9" s="1"/>
  <c r="M23" i="9"/>
  <c r="Q19" i="9"/>
  <c r="Q96" i="9"/>
  <c r="S74" i="9"/>
  <c r="S72" i="9" s="1"/>
  <c r="M74" i="9"/>
  <c r="M61" i="9"/>
  <c r="M46" i="9"/>
  <c r="R23" i="9"/>
  <c r="L23" i="9"/>
  <c r="Q145" i="9"/>
  <c r="Q142" i="9"/>
  <c r="L100" i="9"/>
  <c r="O100" i="9" s="1"/>
  <c r="R97" i="9"/>
  <c r="L97" i="9"/>
  <c r="Q23" i="9"/>
  <c r="K705" i="8"/>
  <c r="I701" i="8"/>
  <c r="K701" i="8" s="1"/>
  <c r="M642" i="8"/>
  <c r="P642" i="8" s="1"/>
  <c r="P643" i="8"/>
  <c r="K785" i="3"/>
  <c r="K779" i="3"/>
  <c r="T763" i="7"/>
  <c r="J351" i="7"/>
  <c r="K346" i="7"/>
  <c r="S269" i="7"/>
  <c r="K783" i="8"/>
  <c r="K778" i="8"/>
  <c r="J332" i="8"/>
  <c r="O334" i="8"/>
  <c r="N322" i="8"/>
  <c r="N320" i="8" s="1"/>
  <c r="N323" i="8"/>
  <c r="I302" i="8"/>
  <c r="K302" i="8" s="1"/>
  <c r="K314" i="8"/>
  <c r="K260" i="8"/>
  <c r="I253" i="8"/>
  <c r="K253" i="8" s="1"/>
  <c r="N46" i="8"/>
  <c r="N44" i="8" s="1"/>
  <c r="O49" i="8"/>
  <c r="N47" i="8"/>
  <c r="P47" i="8" s="1"/>
  <c r="L601" i="8"/>
  <c r="O601" i="8" s="1"/>
  <c r="L602" i="8"/>
  <c r="O602" i="8" s="1"/>
  <c r="O604" i="8"/>
  <c r="K778" i="7"/>
  <c r="P584" i="7"/>
  <c r="U397" i="7"/>
  <c r="K220" i="7"/>
  <c r="R145" i="7"/>
  <c r="U145" i="7" s="1"/>
  <c r="S74" i="7"/>
  <c r="S72" i="7" s="1"/>
  <c r="Q74" i="7"/>
  <c r="T74" i="7" s="1"/>
  <c r="K785" i="8"/>
  <c r="S728" i="8"/>
  <c r="O729" i="8"/>
  <c r="L728" i="8"/>
  <c r="O728" i="8" s="1"/>
  <c r="M714" i="8"/>
  <c r="P714" i="8" s="1"/>
  <c r="P715" i="8"/>
  <c r="R601" i="8"/>
  <c r="U601" i="8" s="1"/>
  <c r="U604" i="8"/>
  <c r="O563" i="8"/>
  <c r="L561" i="8"/>
  <c r="O561" i="8" s="1"/>
  <c r="L536" i="8"/>
  <c r="O536" i="8" s="1"/>
  <c r="L537" i="8"/>
  <c r="O537" i="8" s="1"/>
  <c r="N159" i="8"/>
  <c r="N157" i="8" s="1"/>
  <c r="N160" i="8"/>
  <c r="Q74" i="8"/>
  <c r="Q72" i="8" s="1"/>
  <c r="T72" i="8" s="1"/>
  <c r="Q75" i="8"/>
  <c r="T75" i="8" s="1"/>
  <c r="T77" i="8"/>
  <c r="M119" i="7"/>
  <c r="M117" i="7" s="1"/>
  <c r="R762" i="8"/>
  <c r="U762" i="8" s="1"/>
  <c r="L714" i="8"/>
  <c r="O714" i="8" s="1"/>
  <c r="O715" i="8"/>
  <c r="J675" i="8"/>
  <c r="Q601" i="8"/>
  <c r="T601" i="8" s="1"/>
  <c r="M579" i="8"/>
  <c r="P579" i="8" s="1"/>
  <c r="P581" i="8"/>
  <c r="S534" i="8"/>
  <c r="M359" i="8"/>
  <c r="M358" i="8"/>
  <c r="M356" i="8" s="1"/>
  <c r="Q78" i="8"/>
  <c r="T78" i="8" s="1"/>
  <c r="T80" i="8"/>
  <c r="R59" i="8"/>
  <c r="U59" i="8" s="1"/>
  <c r="U61" i="8"/>
  <c r="T357" i="8"/>
  <c r="Q356" i="8"/>
  <c r="T356" i="8" s="1"/>
  <c r="L309" i="8"/>
  <c r="O309" i="8" s="1"/>
  <c r="O311" i="8"/>
  <c r="S97" i="8"/>
  <c r="U97" i="8" s="1"/>
  <c r="T99" i="8"/>
  <c r="S96" i="8"/>
  <c r="S94" i="8" s="1"/>
  <c r="K198" i="7"/>
  <c r="Q763" i="8"/>
  <c r="Q762" i="8"/>
  <c r="T762" i="8" s="1"/>
  <c r="S692" i="8"/>
  <c r="S690" i="8" s="1"/>
  <c r="S693" i="8"/>
  <c r="U535" i="8"/>
  <c r="R534" i="8"/>
  <c r="U534" i="8" s="1"/>
  <c r="Q513" i="8"/>
  <c r="T513" i="8" s="1"/>
  <c r="I92" i="8"/>
  <c r="K92" i="8" s="1"/>
  <c r="K108" i="8"/>
  <c r="L605" i="8"/>
  <c r="O605" i="8" s="1"/>
  <c r="O607" i="8"/>
  <c r="O577" i="8"/>
  <c r="N495" i="8"/>
  <c r="N493" i="8" s="1"/>
  <c r="N496" i="8"/>
  <c r="M119" i="8"/>
  <c r="P119" i="8" s="1"/>
  <c r="P122" i="8"/>
  <c r="M120" i="8"/>
  <c r="P120" i="8" s="1"/>
  <c r="U73" i="8"/>
  <c r="K152" i="7"/>
  <c r="K779" i="8"/>
  <c r="U715" i="8"/>
  <c r="R714" i="8"/>
  <c r="U714" i="8" s="1"/>
  <c r="N336" i="8"/>
  <c r="P336" i="8" s="1"/>
  <c r="P338" i="8"/>
  <c r="T283" i="8"/>
  <c r="Q282" i="8"/>
  <c r="T282" i="8" s="1"/>
  <c r="K249" i="8"/>
  <c r="I238" i="8"/>
  <c r="K238" i="8" s="1"/>
  <c r="I242" i="8"/>
  <c r="K242" i="8" s="1"/>
  <c r="K758" i="8"/>
  <c r="R728" i="8"/>
  <c r="S714" i="8"/>
  <c r="L690" i="8"/>
  <c r="O690" i="8" s="1"/>
  <c r="U647" i="8"/>
  <c r="Q645" i="8"/>
  <c r="T645" i="8" s="1"/>
  <c r="P607" i="8"/>
  <c r="P604" i="8"/>
  <c r="L578" i="8"/>
  <c r="O578" i="8" s="1"/>
  <c r="O518" i="8"/>
  <c r="L499" i="8"/>
  <c r="O499" i="8" s="1"/>
  <c r="M495" i="8"/>
  <c r="P495" i="8" s="1"/>
  <c r="S496" i="8"/>
  <c r="J457" i="8"/>
  <c r="J456" i="8" s="1"/>
  <c r="R394" i="8"/>
  <c r="U394" i="8" s="1"/>
  <c r="O341" i="8"/>
  <c r="S320" i="8"/>
  <c r="L305" i="8"/>
  <c r="O305" i="8" s="1"/>
  <c r="K292" i="8"/>
  <c r="L272" i="8"/>
  <c r="O272" i="8" s="1"/>
  <c r="M268" i="8"/>
  <c r="M266" i="8" s="1"/>
  <c r="J231" i="8"/>
  <c r="J185" i="8" s="1"/>
  <c r="L222" i="8"/>
  <c r="O222" i="8" s="1"/>
  <c r="I221" i="8"/>
  <c r="K221" i="8" s="1"/>
  <c r="L203" i="8"/>
  <c r="O203" i="8" s="1"/>
  <c r="T191" i="8"/>
  <c r="Q188" i="8"/>
  <c r="K183" i="8"/>
  <c r="M159" i="8"/>
  <c r="P159" i="8" s="1"/>
  <c r="I138" i="8"/>
  <c r="K138" i="8" s="1"/>
  <c r="S119" i="8"/>
  <c r="N120" i="8"/>
  <c r="U99" i="8"/>
  <c r="L97" i="8"/>
  <c r="O97" i="8" s="1"/>
  <c r="P80" i="8"/>
  <c r="L78" i="8"/>
  <c r="O78" i="8" s="1"/>
  <c r="P77" i="8"/>
  <c r="L75" i="8"/>
  <c r="O75" i="8" s="1"/>
  <c r="P64" i="8"/>
  <c r="N62" i="8"/>
  <c r="P62" i="8" s="1"/>
  <c r="R44" i="8"/>
  <c r="U44" i="8" s="1"/>
  <c r="Q19" i="8"/>
  <c r="T19" i="8" s="1"/>
  <c r="J674" i="8"/>
  <c r="R644" i="8"/>
  <c r="U644" i="8" s="1"/>
  <c r="N515" i="8"/>
  <c r="N513" i="8" s="1"/>
  <c r="T514" i="8"/>
  <c r="S415" i="8"/>
  <c r="T415" i="8" s="1"/>
  <c r="U397" i="8"/>
  <c r="P380" i="8"/>
  <c r="M362" i="8"/>
  <c r="P362" i="8" s="1"/>
  <c r="L335" i="8"/>
  <c r="L333" i="8" s="1"/>
  <c r="N305" i="8"/>
  <c r="N303" i="8" s="1"/>
  <c r="T271" i="8"/>
  <c r="L235" i="8"/>
  <c r="K172" i="8"/>
  <c r="M163" i="8"/>
  <c r="P163" i="8" s="1"/>
  <c r="U80" i="8"/>
  <c r="U77" i="8"/>
  <c r="O64" i="8"/>
  <c r="T60" i="8"/>
  <c r="R731" i="8"/>
  <c r="Q730" i="8"/>
  <c r="T730" i="8" s="1"/>
  <c r="N728" i="8"/>
  <c r="K727" i="8"/>
  <c r="J701" i="8"/>
  <c r="Q693" i="8"/>
  <c r="T693" i="8" s="1"/>
  <c r="N601" i="8"/>
  <c r="N599" i="8" s="1"/>
  <c r="P539" i="8"/>
  <c r="M496" i="8"/>
  <c r="P496" i="8" s="1"/>
  <c r="P383" i="8"/>
  <c r="Q320" i="8"/>
  <c r="T320" i="8" s="1"/>
  <c r="M305" i="8"/>
  <c r="P305" i="8" s="1"/>
  <c r="S306" i="8"/>
  <c r="T306" i="8" s="1"/>
  <c r="M269" i="8"/>
  <c r="U194" i="8"/>
  <c r="M188" i="8"/>
  <c r="S189" i="8"/>
  <c r="M160" i="8"/>
  <c r="P160" i="8" s="1"/>
  <c r="K127" i="8"/>
  <c r="N96" i="8"/>
  <c r="N94" i="8" s="1"/>
  <c r="I83" i="8"/>
  <c r="N74" i="8"/>
  <c r="N72" i="8" s="1"/>
  <c r="S59" i="8"/>
  <c r="N714" i="8"/>
  <c r="S601" i="8"/>
  <c r="S599" i="8" s="1"/>
  <c r="M601" i="8"/>
  <c r="M599" i="8" s="1"/>
  <c r="P599" i="8" s="1"/>
  <c r="S602" i="8"/>
  <c r="O581" i="8"/>
  <c r="N536" i="8"/>
  <c r="N534" i="8" s="1"/>
  <c r="R495" i="8"/>
  <c r="U495" i="8" s="1"/>
  <c r="N415" i="8"/>
  <c r="N413" i="8" s="1"/>
  <c r="M392" i="8"/>
  <c r="P392" i="8" s="1"/>
  <c r="I374" i="8"/>
  <c r="M377" i="8"/>
  <c r="S378" i="8"/>
  <c r="I365" i="8"/>
  <c r="K365" i="8" s="1"/>
  <c r="M309" i="8"/>
  <c r="P309" i="8" s="1"/>
  <c r="M284" i="8"/>
  <c r="P284" i="8" s="1"/>
  <c r="M285" i="8"/>
  <c r="P285" i="8" s="1"/>
  <c r="S282" i="8"/>
  <c r="L269" i="8"/>
  <c r="L233" i="8"/>
  <c r="K195" i="8"/>
  <c r="M192" i="8"/>
  <c r="P192" i="8" s="1"/>
  <c r="Q189" i="8"/>
  <c r="N175" i="8"/>
  <c r="N173" i="8" s="1"/>
  <c r="P158" i="8"/>
  <c r="N141" i="8"/>
  <c r="N139" i="8" s="1"/>
  <c r="K116" i="8"/>
  <c r="L100" i="8"/>
  <c r="O100" i="8" s="1"/>
  <c r="P49" i="8"/>
  <c r="T22" i="8"/>
  <c r="R356" i="8"/>
  <c r="U356" i="8" s="1"/>
  <c r="Q268" i="8"/>
  <c r="T268" i="8" s="1"/>
  <c r="R74" i="8"/>
  <c r="U74" i="8" s="1"/>
  <c r="L74" i="8"/>
  <c r="K615" i="8"/>
  <c r="O521" i="8"/>
  <c r="L519" i="8"/>
  <c r="O519" i="8" s="1"/>
  <c r="P514" i="8"/>
  <c r="L288" i="8"/>
  <c r="O288" i="8" s="1"/>
  <c r="O290" i="8"/>
  <c r="M160" i="7"/>
  <c r="P160" i="7" s="1"/>
  <c r="Q642" i="8"/>
  <c r="T642" i="8" s="1"/>
  <c r="T643" i="8"/>
  <c r="M616" i="8"/>
  <c r="P616" i="8" s="1"/>
  <c r="N578" i="8"/>
  <c r="N576" i="8" s="1"/>
  <c r="M499" i="8"/>
  <c r="P499" i="8" s="1"/>
  <c r="P501" i="8"/>
  <c r="O498" i="8"/>
  <c r="L496" i="8"/>
  <c r="O496" i="8" s="1"/>
  <c r="L495" i="8"/>
  <c r="P283" i="8"/>
  <c r="M282" i="8"/>
  <c r="P282" i="8" s="1"/>
  <c r="L192" i="8"/>
  <c r="O192" i="8" s="1"/>
  <c r="O194" i="8"/>
  <c r="S762" i="6"/>
  <c r="S760" i="6" s="1"/>
  <c r="P501" i="6"/>
  <c r="K785" i="7"/>
  <c r="K782" i="7"/>
  <c r="K774" i="7"/>
  <c r="K631" i="7"/>
  <c r="N415" i="7"/>
  <c r="N413" i="7" s="1"/>
  <c r="O328" i="7"/>
  <c r="L322" i="7"/>
  <c r="O322" i="7" s="1"/>
  <c r="L214" i="7"/>
  <c r="O214" i="7" s="1"/>
  <c r="M192" i="7"/>
  <c r="P192" i="7" s="1"/>
  <c r="L188" i="7"/>
  <c r="L186" i="7" s="1"/>
  <c r="O125" i="7"/>
  <c r="P122" i="7"/>
  <c r="P47" i="7"/>
  <c r="L760" i="8"/>
  <c r="O760" i="8" s="1"/>
  <c r="S731" i="8"/>
  <c r="Q714" i="8"/>
  <c r="T714" i="8" s="1"/>
  <c r="R692" i="8"/>
  <c r="U692" i="8" s="1"/>
  <c r="Q690" i="8"/>
  <c r="T690" i="8" s="1"/>
  <c r="T691" i="8"/>
  <c r="K629" i="8"/>
  <c r="L616" i="8"/>
  <c r="O616" i="8" s="1"/>
  <c r="O617" i="8"/>
  <c r="M578" i="8"/>
  <c r="R555" i="8"/>
  <c r="U555" i="8" s="1"/>
  <c r="U556" i="8"/>
  <c r="J503" i="8"/>
  <c r="J492" i="8" s="1"/>
  <c r="K504" i="8"/>
  <c r="P421" i="8"/>
  <c r="M419" i="8"/>
  <c r="P419" i="8" s="1"/>
  <c r="P418" i="8"/>
  <c r="M416" i="8"/>
  <c r="M415" i="8"/>
  <c r="M413" i="8" s="1"/>
  <c r="N359" i="8"/>
  <c r="N358" i="8"/>
  <c r="N356" i="8" s="1"/>
  <c r="P361" i="8"/>
  <c r="O361" i="8"/>
  <c r="N26" i="8"/>
  <c r="N24" i="8" s="1"/>
  <c r="P25" i="8"/>
  <c r="N616" i="8"/>
  <c r="L515" i="8"/>
  <c r="U393" i="8"/>
  <c r="Q619" i="8"/>
  <c r="T619" i="8" s="1"/>
  <c r="Q618" i="8"/>
  <c r="T621" i="8"/>
  <c r="P521" i="6"/>
  <c r="K784" i="7"/>
  <c r="K630" i="7"/>
  <c r="P290" i="7"/>
  <c r="P165" i="7"/>
  <c r="L142" i="7"/>
  <c r="O142" i="7" s="1"/>
  <c r="Q123" i="7"/>
  <c r="T123" i="7" s="1"/>
  <c r="U99" i="7"/>
  <c r="P80" i="7"/>
  <c r="O67" i="7"/>
  <c r="T733" i="8"/>
  <c r="Q555" i="8"/>
  <c r="T555" i="8" s="1"/>
  <c r="T556" i="8"/>
  <c r="M536" i="8"/>
  <c r="I492" i="8"/>
  <c r="K492" i="8" s="1"/>
  <c r="K503" i="8"/>
  <c r="K456" i="8"/>
  <c r="O421" i="8"/>
  <c r="L419" i="8"/>
  <c r="O419" i="8" s="1"/>
  <c r="O414" i="8"/>
  <c r="T380" i="8"/>
  <c r="Q378" i="8"/>
  <c r="Q377" i="8"/>
  <c r="T377" i="8" s="1"/>
  <c r="O336" i="7"/>
  <c r="L179" i="8"/>
  <c r="O179" i="8" s="1"/>
  <c r="L175" i="8"/>
  <c r="O181" i="8"/>
  <c r="S222" i="1"/>
  <c r="K626" i="7"/>
  <c r="P271" i="7"/>
  <c r="K626" i="8"/>
  <c r="K630" i="8"/>
  <c r="K631" i="8"/>
  <c r="K632" i="8"/>
  <c r="T393" i="8"/>
  <c r="K784" i="6"/>
  <c r="U604" i="6"/>
  <c r="J374" i="6"/>
  <c r="K707" i="7"/>
  <c r="L540" i="7"/>
  <c r="O540" i="7" s="1"/>
  <c r="T498" i="7"/>
  <c r="P421" i="7"/>
  <c r="T418" i="7"/>
  <c r="P325" i="7"/>
  <c r="O290" i="7"/>
  <c r="L288" i="7"/>
  <c r="O288" i="7" s="1"/>
  <c r="S176" i="7"/>
  <c r="T176" i="7" s="1"/>
  <c r="O147" i="7"/>
  <c r="L141" i="7"/>
  <c r="O141" i="7" s="1"/>
  <c r="P102" i="7"/>
  <c r="U765" i="8"/>
  <c r="S763" i="8"/>
  <c r="R616" i="8"/>
  <c r="U617" i="8"/>
  <c r="T607" i="8"/>
  <c r="Q605" i="8"/>
  <c r="T605" i="8" s="1"/>
  <c r="T604" i="8"/>
  <c r="Q602" i="8"/>
  <c r="T602" i="8" s="1"/>
  <c r="P542" i="8"/>
  <c r="M540" i="8"/>
  <c r="P540" i="8" s="1"/>
  <c r="U334" i="8"/>
  <c r="R333" i="8"/>
  <c r="U333" i="8" s="1"/>
  <c r="N269" i="8"/>
  <c r="P271" i="8"/>
  <c r="N268" i="8"/>
  <c r="N266" i="8" s="1"/>
  <c r="K632" i="7"/>
  <c r="O556" i="8"/>
  <c r="Q534" i="8"/>
  <c r="T534" i="8" s="1"/>
  <c r="S173" i="7"/>
  <c r="P584" i="8"/>
  <c r="M582" i="8"/>
  <c r="P582" i="8" s="1"/>
  <c r="R119" i="6"/>
  <c r="R117" i="6" s="1"/>
  <c r="K109" i="6"/>
  <c r="K457" i="7"/>
  <c r="K344" i="7"/>
  <c r="K292" i="7"/>
  <c r="U178" i="7"/>
  <c r="R176" i="7"/>
  <c r="K774" i="8"/>
  <c r="T765" i="8"/>
  <c r="U730" i="8"/>
  <c r="U695" i="8"/>
  <c r="M690" i="8"/>
  <c r="P690" i="8" s="1"/>
  <c r="I689" i="8"/>
  <c r="K689" i="8" s="1"/>
  <c r="S642" i="8"/>
  <c r="L642" i="8"/>
  <c r="O642" i="8" s="1"/>
  <c r="T617" i="8"/>
  <c r="Q576" i="8"/>
  <c r="T576" i="8" s="1"/>
  <c r="P560" i="8"/>
  <c r="M558" i="8"/>
  <c r="P558" i="8" s="1"/>
  <c r="N557" i="8"/>
  <c r="N555" i="8" s="1"/>
  <c r="P521" i="8"/>
  <c r="M519" i="8"/>
  <c r="P519" i="8" s="1"/>
  <c r="M515" i="8"/>
  <c r="P515" i="8" s="1"/>
  <c r="N416" i="8"/>
  <c r="M326" i="8"/>
  <c r="P326" i="8" s="1"/>
  <c r="P328" i="8"/>
  <c r="P181" i="8"/>
  <c r="M179" i="8"/>
  <c r="P179" i="8" s="1"/>
  <c r="T695" i="8"/>
  <c r="U691" i="8"/>
  <c r="O691" i="8"/>
  <c r="T647" i="8"/>
  <c r="U643" i="8"/>
  <c r="O643" i="8"/>
  <c r="U621" i="8"/>
  <c r="P617" i="8"/>
  <c r="L557" i="8"/>
  <c r="O557" i="8" s="1"/>
  <c r="P556" i="8"/>
  <c r="O539" i="8"/>
  <c r="R496" i="8"/>
  <c r="U496" i="8" s="1"/>
  <c r="Q493" i="8"/>
  <c r="T493" i="8" s="1"/>
  <c r="O418" i="8"/>
  <c r="L416" i="8"/>
  <c r="R413" i="8"/>
  <c r="U414" i="8"/>
  <c r="I412" i="8"/>
  <c r="K412" i="8" s="1"/>
  <c r="Q395" i="8"/>
  <c r="T395" i="8" s="1"/>
  <c r="Q394" i="8"/>
  <c r="T394" i="8" s="1"/>
  <c r="T397" i="8"/>
  <c r="R306" i="8"/>
  <c r="R305" i="8"/>
  <c r="U305" i="8" s="1"/>
  <c r="U308" i="8"/>
  <c r="L189" i="8"/>
  <c r="O189" i="8" s="1"/>
  <c r="O191" i="8"/>
  <c r="L188" i="8"/>
  <c r="P144" i="8"/>
  <c r="M142" i="8"/>
  <c r="P142" i="8" s="1"/>
  <c r="M141" i="8"/>
  <c r="P141" i="8" s="1"/>
  <c r="P45" i="8"/>
  <c r="T498" i="8"/>
  <c r="Q496" i="8"/>
  <c r="T496" i="8" s="1"/>
  <c r="Q413" i="8"/>
  <c r="T414" i="8"/>
  <c r="L381" i="8"/>
  <c r="O381" i="8" s="1"/>
  <c r="O364" i="8"/>
  <c r="L362" i="8"/>
  <c r="O362" i="8" s="1"/>
  <c r="T308" i="8"/>
  <c r="Q305" i="8"/>
  <c r="L285" i="8"/>
  <c r="O285" i="8" s="1"/>
  <c r="L284" i="8"/>
  <c r="O284" i="8" s="1"/>
  <c r="O287" i="8"/>
  <c r="K265" i="8"/>
  <c r="U267" i="8"/>
  <c r="R266" i="8"/>
  <c r="U266" i="8" s="1"/>
  <c r="L236" i="8"/>
  <c r="L243" i="8"/>
  <c r="U147" i="8"/>
  <c r="R145" i="8"/>
  <c r="U145" i="8" s="1"/>
  <c r="R141" i="8"/>
  <c r="P99" i="8"/>
  <c r="M97" i="8"/>
  <c r="P97" i="8" s="1"/>
  <c r="M96" i="8"/>
  <c r="O95" i="8"/>
  <c r="S19" i="8"/>
  <c r="K457" i="8"/>
  <c r="U418" i="8"/>
  <c r="R416" i="8"/>
  <c r="U416" i="8" s="1"/>
  <c r="L377" i="8"/>
  <c r="O380" i="8"/>
  <c r="R189" i="8"/>
  <c r="R188" i="8"/>
  <c r="U191" i="8"/>
  <c r="K84" i="8"/>
  <c r="I82" i="8"/>
  <c r="P73" i="8"/>
  <c r="U22" i="8"/>
  <c r="R19" i="8"/>
  <c r="U733" i="8"/>
  <c r="L392" i="8"/>
  <c r="O392" i="8" s="1"/>
  <c r="O393" i="8"/>
  <c r="R377" i="8"/>
  <c r="U380" i="8"/>
  <c r="R378" i="8"/>
  <c r="T162" i="8"/>
  <c r="Q160" i="8"/>
  <c r="T160" i="8" s="1"/>
  <c r="Q159" i="8"/>
  <c r="T125" i="8"/>
  <c r="Q123" i="8"/>
  <c r="T123" i="8" s="1"/>
  <c r="Q333" i="8"/>
  <c r="T333" i="8" s="1"/>
  <c r="L326" i="8"/>
  <c r="O326" i="8" s="1"/>
  <c r="I319" i="8"/>
  <c r="K319" i="8" s="1"/>
  <c r="O308" i="8"/>
  <c r="R282" i="8"/>
  <c r="U282" i="8" s="1"/>
  <c r="L214" i="8"/>
  <c r="O214" i="8" s="1"/>
  <c r="K209" i="8"/>
  <c r="Q192" i="8"/>
  <c r="T192" i="8" s="1"/>
  <c r="P52" i="8"/>
  <c r="M26" i="8"/>
  <c r="M50" i="8"/>
  <c r="P50" i="8" s="1"/>
  <c r="L46" i="8"/>
  <c r="L358" i="8"/>
  <c r="L356" i="8" s="1"/>
  <c r="L359" i="8"/>
  <c r="I332" i="8"/>
  <c r="K344" i="8"/>
  <c r="M339" i="8"/>
  <c r="P339" i="8" s="1"/>
  <c r="M335" i="8"/>
  <c r="N335" i="8"/>
  <c r="L322" i="8"/>
  <c r="M322" i="8"/>
  <c r="P322" i="8" s="1"/>
  <c r="U268" i="8"/>
  <c r="L254" i="8"/>
  <c r="O254" i="8" s="1"/>
  <c r="R176" i="8"/>
  <c r="U176" i="8" s="1"/>
  <c r="R175" i="8"/>
  <c r="U175" i="8" s="1"/>
  <c r="P147" i="8"/>
  <c r="M145" i="8"/>
  <c r="P145" i="8" s="1"/>
  <c r="U144" i="8"/>
  <c r="R142" i="8"/>
  <c r="U142" i="8" s="1"/>
  <c r="T140" i="8"/>
  <c r="Q26" i="8"/>
  <c r="O52" i="8"/>
  <c r="L26" i="8"/>
  <c r="L24" i="8" s="1"/>
  <c r="L50" i="8"/>
  <c r="O50" i="8" s="1"/>
  <c r="U25" i="8"/>
  <c r="K293" i="8"/>
  <c r="I280" i="8"/>
  <c r="K280" i="8" s="1"/>
  <c r="N284" i="8"/>
  <c r="N282" i="8" s="1"/>
  <c r="Q176" i="8"/>
  <c r="T176" i="8" s="1"/>
  <c r="T178" i="8"/>
  <c r="O162" i="8"/>
  <c r="L160" i="8"/>
  <c r="O160" i="8" s="1"/>
  <c r="L159" i="8"/>
  <c r="O159" i="8" s="1"/>
  <c r="K154" i="8"/>
  <c r="O147" i="8"/>
  <c r="L145" i="8"/>
  <c r="O145" i="8" s="1"/>
  <c r="T122" i="8"/>
  <c r="Q120" i="8"/>
  <c r="T120" i="8" s="1"/>
  <c r="Q119" i="8"/>
  <c r="L61" i="8"/>
  <c r="M19" i="8"/>
  <c r="P321" i="8"/>
  <c r="N232" i="8"/>
  <c r="R157" i="8"/>
  <c r="U157" i="8" s="1"/>
  <c r="O125" i="8"/>
  <c r="L123" i="8"/>
  <c r="O123" i="8" s="1"/>
  <c r="O67" i="8"/>
  <c r="L65" i="8"/>
  <c r="O65" i="8" s="1"/>
  <c r="O19" i="8"/>
  <c r="O338" i="8"/>
  <c r="P308" i="8"/>
  <c r="P287" i="8"/>
  <c r="U271" i="8"/>
  <c r="O271" i="8"/>
  <c r="P191" i="8"/>
  <c r="O178" i="8"/>
  <c r="Q173" i="8"/>
  <c r="T173" i="8" s="1"/>
  <c r="S141" i="8"/>
  <c r="S139" i="8" s="1"/>
  <c r="U125" i="8"/>
  <c r="R123" i="8"/>
  <c r="U123" i="8" s="1"/>
  <c r="K93" i="8"/>
  <c r="R26" i="8"/>
  <c r="U26" i="8" s="1"/>
  <c r="M175" i="8"/>
  <c r="O165" i="8"/>
  <c r="L163" i="8"/>
  <c r="O163" i="8" s="1"/>
  <c r="O144" i="8"/>
  <c r="L142" i="8"/>
  <c r="O142" i="8" s="1"/>
  <c r="O122" i="8"/>
  <c r="L120" i="8"/>
  <c r="O120" i="8" s="1"/>
  <c r="U95" i="8"/>
  <c r="P60" i="8"/>
  <c r="O25" i="8"/>
  <c r="N23" i="8"/>
  <c r="P22" i="8"/>
  <c r="O176" i="8"/>
  <c r="S176" i="8"/>
  <c r="U162" i="8"/>
  <c r="R160" i="8"/>
  <c r="U160" i="8" s="1"/>
  <c r="L141" i="8"/>
  <c r="U122" i="8"/>
  <c r="R120" i="8"/>
  <c r="U120" i="8" s="1"/>
  <c r="P102" i="8"/>
  <c r="M100" i="8"/>
  <c r="P100" i="8" s="1"/>
  <c r="T95" i="8"/>
  <c r="P67" i="8"/>
  <c r="M65" i="8"/>
  <c r="P65" i="8" s="1"/>
  <c r="O22" i="8"/>
  <c r="P178" i="8"/>
  <c r="T174" i="8"/>
  <c r="P162" i="8"/>
  <c r="Q141" i="8"/>
  <c r="T141" i="8" s="1"/>
  <c r="R96" i="8"/>
  <c r="L96" i="8"/>
  <c r="S26" i="8"/>
  <c r="S24" i="8" s="1"/>
  <c r="S23" i="8"/>
  <c r="M23" i="8"/>
  <c r="Q96" i="8"/>
  <c r="K85" i="8"/>
  <c r="S74" i="8"/>
  <c r="S72" i="8" s="1"/>
  <c r="M74" i="8"/>
  <c r="P74" i="8" s="1"/>
  <c r="M61" i="8"/>
  <c r="M46" i="8"/>
  <c r="R23" i="8"/>
  <c r="L23" i="8"/>
  <c r="Q23" i="8"/>
  <c r="N283" i="1"/>
  <c r="K440" i="7"/>
  <c r="I423" i="7"/>
  <c r="P274" i="5"/>
  <c r="K778" i="6"/>
  <c r="P584" i="6"/>
  <c r="M515" i="6"/>
  <c r="P515" i="6" s="1"/>
  <c r="I456" i="6"/>
  <c r="K456" i="6" s="1"/>
  <c r="L515" i="7"/>
  <c r="L50" i="7"/>
  <c r="O50" i="7" s="1"/>
  <c r="O52" i="7"/>
  <c r="I759" i="6"/>
  <c r="K759" i="6" s="1"/>
  <c r="M601" i="7"/>
  <c r="P601" i="7" s="1"/>
  <c r="M602" i="7"/>
  <c r="P602" i="7" s="1"/>
  <c r="L519" i="7"/>
  <c r="O519" i="7" s="1"/>
  <c r="O521" i="7"/>
  <c r="I116" i="7"/>
  <c r="K116" i="7" s="1"/>
  <c r="K127" i="7"/>
  <c r="O376" i="7"/>
  <c r="Q189" i="7"/>
  <c r="T189" i="7" s="1"/>
  <c r="T191" i="7"/>
  <c r="L120" i="7"/>
  <c r="O120" i="7" s="1"/>
  <c r="O122" i="7"/>
  <c r="P95" i="7"/>
  <c r="Q19" i="7"/>
  <c r="T19" i="7" s="1"/>
  <c r="T22" i="7"/>
  <c r="O147" i="4"/>
  <c r="K440" i="5"/>
  <c r="L536" i="6"/>
  <c r="O536" i="6" s="1"/>
  <c r="M557" i="7"/>
  <c r="P557" i="7" s="1"/>
  <c r="M558" i="7"/>
  <c r="P558" i="7" s="1"/>
  <c r="P560" i="7"/>
  <c r="U535" i="7"/>
  <c r="R534" i="7"/>
  <c r="U534" i="7" s="1"/>
  <c r="P174" i="7"/>
  <c r="N160" i="7"/>
  <c r="N159" i="7"/>
  <c r="N157" i="7" s="1"/>
  <c r="M145" i="7"/>
  <c r="P145" i="7" s="1"/>
  <c r="P147" i="7"/>
  <c r="R120" i="7"/>
  <c r="U122" i="7"/>
  <c r="Q59" i="7"/>
  <c r="T59" i="7" s="1"/>
  <c r="T60" i="7"/>
  <c r="K707" i="6"/>
  <c r="L243" i="7"/>
  <c r="O243" i="7" s="1"/>
  <c r="L234" i="7"/>
  <c r="R173" i="7"/>
  <c r="U175" i="7"/>
  <c r="M62" i="7"/>
  <c r="P62" i="7" s="1"/>
  <c r="P64" i="7"/>
  <c r="K252" i="5"/>
  <c r="O563" i="6"/>
  <c r="L714" i="7"/>
  <c r="O714" i="7" s="1"/>
  <c r="O715" i="7"/>
  <c r="M561" i="7"/>
  <c r="P561" i="7" s="1"/>
  <c r="U515" i="7"/>
  <c r="R513" i="7"/>
  <c r="U513" i="7" s="1"/>
  <c r="Q97" i="7"/>
  <c r="T97" i="7" s="1"/>
  <c r="T99" i="7"/>
  <c r="M358" i="6"/>
  <c r="M356" i="6" s="1"/>
  <c r="K293" i="6"/>
  <c r="R141" i="6"/>
  <c r="U141" i="6" s="1"/>
  <c r="K779" i="7"/>
  <c r="I758" i="7"/>
  <c r="K758" i="7" s="1"/>
  <c r="U733" i="7"/>
  <c r="Q731" i="7"/>
  <c r="R730" i="7"/>
  <c r="K629" i="7"/>
  <c r="M605" i="7"/>
  <c r="P605" i="7" s="1"/>
  <c r="L601" i="7"/>
  <c r="O601" i="7" s="1"/>
  <c r="P600" i="7"/>
  <c r="P518" i="7"/>
  <c r="M496" i="7"/>
  <c r="P496" i="7" s="1"/>
  <c r="L419" i="7"/>
  <c r="O419" i="7" s="1"/>
  <c r="M415" i="7"/>
  <c r="P415" i="7" s="1"/>
  <c r="R395" i="7"/>
  <c r="U395" i="7" s="1"/>
  <c r="J374" i="7"/>
  <c r="P383" i="7"/>
  <c r="M377" i="7"/>
  <c r="M375" i="7" s="1"/>
  <c r="S378" i="7"/>
  <c r="T378" i="7" s="1"/>
  <c r="K365" i="7"/>
  <c r="K368" i="7"/>
  <c r="P364" i="7"/>
  <c r="L358" i="7"/>
  <c r="L356" i="7" s="1"/>
  <c r="L335" i="7"/>
  <c r="L333" i="7" s="1"/>
  <c r="L254" i="7"/>
  <c r="O254" i="7" s="1"/>
  <c r="L203" i="7"/>
  <c r="O203" i="7" s="1"/>
  <c r="S192" i="7"/>
  <c r="O165" i="7"/>
  <c r="M159" i="7"/>
  <c r="P159" i="7" s="1"/>
  <c r="S160" i="7"/>
  <c r="S157" i="7"/>
  <c r="Q145" i="7"/>
  <c r="T145" i="7" s="1"/>
  <c r="N141" i="7"/>
  <c r="N139" i="7" s="1"/>
  <c r="U125" i="7"/>
  <c r="M120" i="7"/>
  <c r="P120" i="7" s="1"/>
  <c r="O102" i="7"/>
  <c r="I92" i="7"/>
  <c r="K92" i="7" s="1"/>
  <c r="I82" i="7"/>
  <c r="R78" i="7"/>
  <c r="U78" i="7" s="1"/>
  <c r="P77" i="7"/>
  <c r="L61" i="7"/>
  <c r="L59" i="7" s="1"/>
  <c r="P49" i="7"/>
  <c r="O22" i="7"/>
  <c r="P274" i="6"/>
  <c r="K781" i="7"/>
  <c r="R763" i="7"/>
  <c r="U763" i="7" s="1"/>
  <c r="S762" i="7"/>
  <c r="S760" i="7" s="1"/>
  <c r="T733" i="7"/>
  <c r="L728" i="7"/>
  <c r="O728" i="7" s="1"/>
  <c r="P715" i="7"/>
  <c r="S601" i="7"/>
  <c r="S599" i="7" s="1"/>
  <c r="N578" i="7"/>
  <c r="N576" i="7" s="1"/>
  <c r="N579" i="7"/>
  <c r="M537" i="7"/>
  <c r="P537" i="7" s="1"/>
  <c r="O518" i="7"/>
  <c r="R416" i="7"/>
  <c r="U416" i="7" s="1"/>
  <c r="I374" i="7"/>
  <c r="N305" i="7"/>
  <c r="N303" i="7" s="1"/>
  <c r="P274" i="7"/>
  <c r="K260" i="7"/>
  <c r="K183" i="7"/>
  <c r="R160" i="7"/>
  <c r="U160" i="7" s="1"/>
  <c r="R157" i="7"/>
  <c r="U157" i="7" s="1"/>
  <c r="N119" i="7"/>
  <c r="N117" i="7" s="1"/>
  <c r="R394" i="6"/>
  <c r="U394" i="6" s="1"/>
  <c r="K783" i="7"/>
  <c r="U765" i="7"/>
  <c r="J702" i="7"/>
  <c r="S693" i="7"/>
  <c r="J674" i="7"/>
  <c r="K653" i="7"/>
  <c r="R601" i="7"/>
  <c r="U601" i="7" s="1"/>
  <c r="M578" i="7"/>
  <c r="P578" i="7" s="1"/>
  <c r="M579" i="7"/>
  <c r="P579" i="7" s="1"/>
  <c r="R576" i="7"/>
  <c r="U576" i="7" s="1"/>
  <c r="M536" i="7"/>
  <c r="N515" i="7"/>
  <c r="N513" i="7" s="1"/>
  <c r="L516" i="7"/>
  <c r="O516" i="7" s="1"/>
  <c r="M499" i="7"/>
  <c r="P499" i="7" s="1"/>
  <c r="N495" i="7"/>
  <c r="N493" i="7" s="1"/>
  <c r="Q495" i="7"/>
  <c r="T495" i="7" s="1"/>
  <c r="L416" i="7"/>
  <c r="O416" i="7" s="1"/>
  <c r="R392" i="7"/>
  <c r="U392" i="7" s="1"/>
  <c r="M358" i="7"/>
  <c r="M356" i="7" s="1"/>
  <c r="S356" i="7"/>
  <c r="J343" i="7"/>
  <c r="M309" i="7"/>
  <c r="P309" i="7" s="1"/>
  <c r="K293" i="7"/>
  <c r="N284" i="7"/>
  <c r="N282" i="7" s="1"/>
  <c r="N268" i="7"/>
  <c r="N266" i="7" s="1"/>
  <c r="I238" i="7"/>
  <c r="K238" i="7" s="1"/>
  <c r="N232" i="7"/>
  <c r="K154" i="7"/>
  <c r="L78" i="7"/>
  <c r="O78" i="7" s="1"/>
  <c r="R44" i="7"/>
  <c r="U44" i="7" s="1"/>
  <c r="L323" i="6"/>
  <c r="O323" i="6" s="1"/>
  <c r="L100" i="6"/>
  <c r="O100" i="6" s="1"/>
  <c r="P729" i="7"/>
  <c r="J701" i="7"/>
  <c r="U645" i="7"/>
  <c r="O560" i="7"/>
  <c r="M495" i="7"/>
  <c r="M335" i="7"/>
  <c r="M333" i="7" s="1"/>
  <c r="T308" i="7"/>
  <c r="M268" i="7"/>
  <c r="M266" i="7" s="1"/>
  <c r="L236" i="7"/>
  <c r="M96" i="7"/>
  <c r="P96" i="7" s="1"/>
  <c r="S97" i="7"/>
  <c r="L74" i="7"/>
  <c r="O74" i="7" s="1"/>
  <c r="L46" i="7"/>
  <c r="L44" i="7" s="1"/>
  <c r="K365" i="6"/>
  <c r="P364" i="6"/>
  <c r="P325" i="6"/>
  <c r="M288" i="6"/>
  <c r="P288" i="6" s="1"/>
  <c r="I253" i="6"/>
  <c r="K253" i="6" s="1"/>
  <c r="L234" i="6"/>
  <c r="U97" i="6"/>
  <c r="O729" i="7"/>
  <c r="N601" i="7"/>
  <c r="N599" i="7" s="1"/>
  <c r="O584" i="7"/>
  <c r="S555" i="7"/>
  <c r="L536" i="7"/>
  <c r="O536" i="7" s="1"/>
  <c r="S496" i="7"/>
  <c r="J458" i="7"/>
  <c r="N392" i="7"/>
  <c r="L392" i="7"/>
  <c r="O392" i="7" s="1"/>
  <c r="K371" i="7"/>
  <c r="Q356" i="7"/>
  <c r="T356" i="7" s="1"/>
  <c r="P341" i="7"/>
  <c r="O338" i="7"/>
  <c r="O271" i="7"/>
  <c r="N269" i="7"/>
  <c r="L235" i="7"/>
  <c r="R188" i="7"/>
  <c r="U188" i="7" s="1"/>
  <c r="M175" i="7"/>
  <c r="M173" i="7" s="1"/>
  <c r="Q141" i="7"/>
  <c r="R141" i="7"/>
  <c r="U141" i="7" s="1"/>
  <c r="S119" i="7"/>
  <c r="S117" i="7" s="1"/>
  <c r="S120" i="7"/>
  <c r="M97" i="7"/>
  <c r="P97" i="7" s="1"/>
  <c r="R74" i="7"/>
  <c r="U74" i="7" s="1"/>
  <c r="L75" i="7"/>
  <c r="O75" i="7" s="1"/>
  <c r="S59" i="7"/>
  <c r="R19" i="7"/>
  <c r="P144" i="4"/>
  <c r="M47" i="5"/>
  <c r="P47" i="5" s="1"/>
  <c r="P49" i="5"/>
  <c r="M119" i="6"/>
  <c r="P119" i="6" s="1"/>
  <c r="P122" i="6"/>
  <c r="M120" i="6"/>
  <c r="P120" i="6" s="1"/>
  <c r="O762" i="7"/>
  <c r="L760" i="7"/>
  <c r="O760" i="7" s="1"/>
  <c r="M760" i="7"/>
  <c r="P760" i="7" s="1"/>
  <c r="T716" i="7"/>
  <c r="Q714" i="7"/>
  <c r="T714" i="7" s="1"/>
  <c r="R714" i="7"/>
  <c r="U714" i="7" s="1"/>
  <c r="I701" i="7"/>
  <c r="K701" i="7" s="1"/>
  <c r="K703" i="7"/>
  <c r="U691" i="7"/>
  <c r="Q645" i="7"/>
  <c r="T645" i="7" s="1"/>
  <c r="Q644" i="7"/>
  <c r="T647" i="7"/>
  <c r="P644" i="7"/>
  <c r="M642" i="7"/>
  <c r="P642" i="7" s="1"/>
  <c r="T604" i="7"/>
  <c r="Q602" i="7"/>
  <c r="T602" i="7" s="1"/>
  <c r="O581" i="7"/>
  <c r="L579" i="7"/>
  <c r="O579" i="7" s="1"/>
  <c r="O563" i="7"/>
  <c r="L561" i="7"/>
  <c r="O561" i="7" s="1"/>
  <c r="N378" i="7"/>
  <c r="P378" i="7" s="1"/>
  <c r="P380" i="7"/>
  <c r="U617" i="7"/>
  <c r="N358" i="3"/>
  <c r="N356" i="3" s="1"/>
  <c r="O80" i="4"/>
  <c r="L78" i="4"/>
  <c r="O78" i="4" s="1"/>
  <c r="M78" i="5"/>
  <c r="P78" i="5" s="1"/>
  <c r="P80" i="5"/>
  <c r="K780" i="6"/>
  <c r="N415" i="6"/>
  <c r="N413" i="6" s="1"/>
  <c r="N416" i="6"/>
  <c r="P416" i="6" s="1"/>
  <c r="M305" i="6"/>
  <c r="P305" i="6" s="1"/>
  <c r="P308" i="6"/>
  <c r="I116" i="6"/>
  <c r="K116" i="6" s="1"/>
  <c r="K127" i="6"/>
  <c r="M123" i="6"/>
  <c r="P123" i="6" s="1"/>
  <c r="M75" i="6"/>
  <c r="P75" i="6" s="1"/>
  <c r="P77" i="6"/>
  <c r="Q728" i="7"/>
  <c r="T691" i="7"/>
  <c r="J675" i="7"/>
  <c r="L642" i="7"/>
  <c r="O642" i="7" s="1"/>
  <c r="O643" i="7"/>
  <c r="R619" i="7"/>
  <c r="U619" i="7" s="1"/>
  <c r="R618" i="7"/>
  <c r="U621" i="7"/>
  <c r="J615" i="7"/>
  <c r="K615" i="7" s="1"/>
  <c r="O607" i="7"/>
  <c r="L605" i="7"/>
  <c r="O605" i="7" s="1"/>
  <c r="Q601" i="7"/>
  <c r="R555" i="7"/>
  <c r="U555" i="7" s="1"/>
  <c r="U556" i="7"/>
  <c r="S416" i="7"/>
  <c r="S415" i="7"/>
  <c r="S413" i="7" s="1"/>
  <c r="N359" i="7"/>
  <c r="O359" i="7" s="1"/>
  <c r="O361" i="7"/>
  <c r="P361" i="7"/>
  <c r="N358" i="7"/>
  <c r="N356" i="7" s="1"/>
  <c r="M60" i="1"/>
  <c r="P60" i="1" s="1"/>
  <c r="T733" i="6"/>
  <c r="S730" i="6"/>
  <c r="S728" i="6" s="1"/>
  <c r="N642" i="7"/>
  <c r="Q322" i="1"/>
  <c r="T322" i="1" s="1"/>
  <c r="U619" i="3"/>
  <c r="O328" i="3"/>
  <c r="I701" i="4"/>
  <c r="L605" i="4"/>
  <c r="O605" i="4" s="1"/>
  <c r="N557" i="5"/>
  <c r="N555" i="5" s="1"/>
  <c r="Q416" i="5"/>
  <c r="T416" i="5" s="1"/>
  <c r="Q415" i="5"/>
  <c r="Q413" i="5" s="1"/>
  <c r="Q619" i="6"/>
  <c r="T619" i="6" s="1"/>
  <c r="Q618" i="6"/>
  <c r="Q616" i="6" s="1"/>
  <c r="O308" i="6"/>
  <c r="L306" i="6"/>
  <c r="O306" i="6" s="1"/>
  <c r="M306" i="6"/>
  <c r="P306" i="6" s="1"/>
  <c r="N690" i="7"/>
  <c r="Q618" i="7"/>
  <c r="T621" i="7"/>
  <c r="M616" i="7"/>
  <c r="P616" i="7" s="1"/>
  <c r="P617" i="7"/>
  <c r="T578" i="7"/>
  <c r="Q576" i="7"/>
  <c r="T576" i="7" s="1"/>
  <c r="M540" i="7"/>
  <c r="P540" i="7" s="1"/>
  <c r="P542" i="7"/>
  <c r="P521" i="7"/>
  <c r="M519" i="7"/>
  <c r="P519" i="7" s="1"/>
  <c r="O498" i="7"/>
  <c r="L496" i="7"/>
  <c r="O496" i="7" s="1"/>
  <c r="L495" i="7"/>
  <c r="O495" i="7" s="1"/>
  <c r="O494" i="7"/>
  <c r="O178" i="7"/>
  <c r="P178" i="7"/>
  <c r="N175" i="7"/>
  <c r="N173" i="7" s="1"/>
  <c r="N176" i="7"/>
  <c r="P176" i="7" s="1"/>
  <c r="R203" i="1"/>
  <c r="S761" i="1"/>
  <c r="U604" i="7"/>
  <c r="R602" i="7"/>
  <c r="U602" i="7" s="1"/>
  <c r="L599" i="7"/>
  <c r="O599" i="7" s="1"/>
  <c r="O556" i="7"/>
  <c r="S214" i="1"/>
  <c r="U730" i="1"/>
  <c r="I615" i="6"/>
  <c r="K615" i="6" s="1"/>
  <c r="K631" i="6"/>
  <c r="N496" i="6"/>
  <c r="N495" i="6"/>
  <c r="N493" i="6" s="1"/>
  <c r="M381" i="6"/>
  <c r="P381" i="6" s="1"/>
  <c r="P383" i="6"/>
  <c r="P194" i="6"/>
  <c r="M192" i="6"/>
  <c r="P192" i="6" s="1"/>
  <c r="R760" i="7"/>
  <c r="T761" i="7"/>
  <c r="Q693" i="7"/>
  <c r="T693" i="7" s="1"/>
  <c r="Q692" i="7"/>
  <c r="T692" i="7" s="1"/>
  <c r="T695" i="7"/>
  <c r="P692" i="7"/>
  <c r="M690" i="7"/>
  <c r="P690" i="7" s="1"/>
  <c r="U643" i="7"/>
  <c r="T619" i="7"/>
  <c r="L616" i="7"/>
  <c r="O616" i="7" s="1"/>
  <c r="O617" i="7"/>
  <c r="U607" i="7"/>
  <c r="R605" i="7"/>
  <c r="U605" i="7" s="1"/>
  <c r="O604" i="7"/>
  <c r="L602" i="7"/>
  <c r="O602" i="7" s="1"/>
  <c r="L578" i="7"/>
  <c r="O578" i="7" s="1"/>
  <c r="R493" i="7"/>
  <c r="U493" i="7" s="1"/>
  <c r="U494" i="7"/>
  <c r="N377" i="7"/>
  <c r="P308" i="7"/>
  <c r="M305" i="7"/>
  <c r="Q192" i="7"/>
  <c r="T192" i="7" s="1"/>
  <c r="T194" i="7"/>
  <c r="Q188" i="7"/>
  <c r="M416" i="7"/>
  <c r="P416" i="7" s="1"/>
  <c r="P418" i="7"/>
  <c r="S203" i="1"/>
  <c r="M336" i="1"/>
  <c r="N419" i="1"/>
  <c r="S395" i="3"/>
  <c r="R763" i="6"/>
  <c r="U763" i="6" s="1"/>
  <c r="U765" i="6"/>
  <c r="P498" i="6"/>
  <c r="M496" i="6"/>
  <c r="P496" i="6" s="1"/>
  <c r="L381" i="6"/>
  <c r="O381" i="6" s="1"/>
  <c r="O383" i="6"/>
  <c r="N336" i="6"/>
  <c r="P336" i="6" s="1"/>
  <c r="P338" i="6"/>
  <c r="T147" i="6"/>
  <c r="Q145" i="6"/>
  <c r="T145" i="6" s="1"/>
  <c r="L690" i="7"/>
  <c r="O690" i="7" s="1"/>
  <c r="O691" i="7"/>
  <c r="T643" i="7"/>
  <c r="T607" i="7"/>
  <c r="Q605" i="7"/>
  <c r="T605" i="7" s="1"/>
  <c r="N557" i="7"/>
  <c r="N555" i="7" s="1"/>
  <c r="P556" i="7"/>
  <c r="Q534" i="7"/>
  <c r="T534" i="7" s="1"/>
  <c r="T535" i="7"/>
  <c r="K506" i="7"/>
  <c r="J503" i="7"/>
  <c r="J492" i="7" s="1"/>
  <c r="S395" i="7"/>
  <c r="S394" i="7"/>
  <c r="S392" i="7" s="1"/>
  <c r="I332" i="7"/>
  <c r="M306" i="7"/>
  <c r="P306" i="7" s="1"/>
  <c r="P383" i="5"/>
  <c r="K785" i="6"/>
  <c r="K782" i="6"/>
  <c r="J674" i="6"/>
  <c r="T647" i="6"/>
  <c r="N61" i="6"/>
  <c r="N59" i="6" s="1"/>
  <c r="P49" i="6"/>
  <c r="T765" i="7"/>
  <c r="Q762" i="7"/>
  <c r="U695" i="7"/>
  <c r="R692" i="7"/>
  <c r="U692" i="7" s="1"/>
  <c r="U647" i="7"/>
  <c r="R644" i="7"/>
  <c r="S618" i="7"/>
  <c r="S616" i="7" s="1"/>
  <c r="P604" i="7"/>
  <c r="P581" i="7"/>
  <c r="U498" i="7"/>
  <c r="R496" i="7"/>
  <c r="U496" i="7" s="1"/>
  <c r="T380" i="7"/>
  <c r="T322" i="7"/>
  <c r="Q320" i="7"/>
  <c r="T320" i="7" s="1"/>
  <c r="K276" i="7"/>
  <c r="I265" i="7"/>
  <c r="K265" i="7" s="1"/>
  <c r="O274" i="7"/>
  <c r="L272" i="7"/>
  <c r="O272" i="7" s="1"/>
  <c r="Q730" i="6"/>
  <c r="Q728" i="6" s="1"/>
  <c r="O604" i="6"/>
  <c r="L602" i="6"/>
  <c r="L335" i="6"/>
  <c r="L333" i="6" s="1"/>
  <c r="N305" i="6"/>
  <c r="N303" i="6" s="1"/>
  <c r="L557" i="7"/>
  <c r="O557" i="7" s="1"/>
  <c r="K314" i="7"/>
  <c r="I302" i="7"/>
  <c r="K302" i="7" s="1"/>
  <c r="L282" i="7"/>
  <c r="O282" i="7" s="1"/>
  <c r="O283" i="7"/>
  <c r="P191" i="7"/>
  <c r="M189" i="7"/>
  <c r="M188" i="7"/>
  <c r="S644" i="6"/>
  <c r="S642" i="6" s="1"/>
  <c r="M378" i="6"/>
  <c r="P378" i="6" s="1"/>
  <c r="K292" i="6"/>
  <c r="I238" i="6"/>
  <c r="K238" i="6" s="1"/>
  <c r="O176" i="6"/>
  <c r="L61" i="6"/>
  <c r="L59" i="6" s="1"/>
  <c r="U377" i="7"/>
  <c r="R375" i="7"/>
  <c r="U375" i="7" s="1"/>
  <c r="P321" i="7"/>
  <c r="R282" i="7"/>
  <c r="U282" i="7" s="1"/>
  <c r="U283" i="7"/>
  <c r="K365" i="5"/>
  <c r="K368" i="5"/>
  <c r="N175" i="5"/>
  <c r="N173" i="5" s="1"/>
  <c r="K781" i="6"/>
  <c r="Q644" i="6"/>
  <c r="T644" i="6" s="1"/>
  <c r="S173" i="6"/>
  <c r="O501" i="7"/>
  <c r="L499" i="7"/>
  <c r="O499" i="7" s="1"/>
  <c r="M392" i="7"/>
  <c r="P392" i="7" s="1"/>
  <c r="Q377" i="7"/>
  <c r="T377" i="7" s="1"/>
  <c r="P287" i="7"/>
  <c r="M284" i="7"/>
  <c r="M285" i="7"/>
  <c r="P285" i="7" s="1"/>
  <c r="O539" i="7"/>
  <c r="N416" i="7"/>
  <c r="R415" i="7"/>
  <c r="L415" i="7"/>
  <c r="L381" i="7"/>
  <c r="O381" i="7" s="1"/>
  <c r="R378" i="7"/>
  <c r="L378" i="7"/>
  <c r="P357" i="7"/>
  <c r="P338" i="7"/>
  <c r="R333" i="7"/>
  <c r="U333" i="7" s="1"/>
  <c r="P328" i="7"/>
  <c r="M326" i="7"/>
  <c r="P326" i="7" s="1"/>
  <c r="N322" i="7"/>
  <c r="N320" i="7" s="1"/>
  <c r="O308" i="7"/>
  <c r="L306" i="7"/>
  <c r="O306" i="7" s="1"/>
  <c r="L305" i="7"/>
  <c r="O305" i="7" s="1"/>
  <c r="O287" i="7"/>
  <c r="L285" i="7"/>
  <c r="O285" i="7" s="1"/>
  <c r="N285" i="7"/>
  <c r="Q282" i="7"/>
  <c r="T282" i="7" s="1"/>
  <c r="T283" i="7"/>
  <c r="M269" i="7"/>
  <c r="Q266" i="7"/>
  <c r="T266" i="7" s="1"/>
  <c r="I202" i="7"/>
  <c r="K202" i="7" s="1"/>
  <c r="O191" i="7"/>
  <c r="Q175" i="7"/>
  <c r="N536" i="7"/>
  <c r="N534" i="7" s="1"/>
  <c r="M515" i="7"/>
  <c r="P515" i="7" s="1"/>
  <c r="K503" i="7"/>
  <c r="Q415" i="7"/>
  <c r="T415" i="7" s="1"/>
  <c r="T397" i="7"/>
  <c r="Q394" i="7"/>
  <c r="T394" i="7" s="1"/>
  <c r="U380" i="7"/>
  <c r="O380" i="7"/>
  <c r="T357" i="7"/>
  <c r="J332" i="7"/>
  <c r="N335" i="7"/>
  <c r="N333" i="7" s="1"/>
  <c r="M322" i="7"/>
  <c r="P322" i="7" s="1"/>
  <c r="L323" i="7"/>
  <c r="O323" i="7" s="1"/>
  <c r="S306" i="7"/>
  <c r="T306" i="7" s="1"/>
  <c r="L269" i="7"/>
  <c r="L268" i="7"/>
  <c r="L233" i="7"/>
  <c r="I242" i="7"/>
  <c r="P187" i="7"/>
  <c r="T178" i="7"/>
  <c r="P140" i="7"/>
  <c r="Q120" i="7"/>
  <c r="Q119" i="7"/>
  <c r="T122" i="7"/>
  <c r="N96" i="7"/>
  <c r="N94" i="7" s="1"/>
  <c r="P52" i="7"/>
  <c r="M26" i="7"/>
  <c r="M24" i="7" s="1"/>
  <c r="M50" i="7"/>
  <c r="P50" i="7" s="1"/>
  <c r="U308" i="7"/>
  <c r="R306" i="7"/>
  <c r="R305" i="7"/>
  <c r="U305" i="7" s="1"/>
  <c r="L175" i="7"/>
  <c r="L179" i="7"/>
  <c r="O179" i="7" s="1"/>
  <c r="O181" i="7"/>
  <c r="Q159" i="7"/>
  <c r="T162" i="7"/>
  <c r="Q160" i="7"/>
  <c r="T160" i="7" s="1"/>
  <c r="L362" i="7"/>
  <c r="O362" i="7" s="1"/>
  <c r="R356" i="7"/>
  <c r="U356" i="7" s="1"/>
  <c r="M336" i="7"/>
  <c r="P336" i="7" s="1"/>
  <c r="Q333" i="7"/>
  <c r="T333" i="7" s="1"/>
  <c r="Q305" i="7"/>
  <c r="T305" i="7" s="1"/>
  <c r="T271" i="7"/>
  <c r="Q269" i="7"/>
  <c r="R269" i="7"/>
  <c r="R268" i="7"/>
  <c r="T267" i="7"/>
  <c r="K229" i="7"/>
  <c r="L222" i="7"/>
  <c r="O222" i="7" s="1"/>
  <c r="K195" i="7"/>
  <c r="U19" i="7"/>
  <c r="O311" i="7"/>
  <c r="L309" i="7"/>
  <c r="O309" i="7" s="1"/>
  <c r="N306" i="7"/>
  <c r="T304" i="7"/>
  <c r="T268" i="7"/>
  <c r="N189" i="7"/>
  <c r="N188" i="7"/>
  <c r="N186" i="7" s="1"/>
  <c r="K153" i="7"/>
  <c r="I138" i="7"/>
  <c r="K138" i="7" s="1"/>
  <c r="S78" i="7"/>
  <c r="S26" i="7"/>
  <c r="S24" i="7" s="1"/>
  <c r="R192" i="7"/>
  <c r="U192" i="7" s="1"/>
  <c r="L192" i="7"/>
  <c r="O192" i="7" s="1"/>
  <c r="R189" i="7"/>
  <c r="U189" i="7" s="1"/>
  <c r="L189" i="7"/>
  <c r="K169" i="7"/>
  <c r="L159" i="7"/>
  <c r="O159" i="7" s="1"/>
  <c r="P67" i="7"/>
  <c r="M65" i="7"/>
  <c r="U191" i="7"/>
  <c r="U162" i="7"/>
  <c r="O162" i="7"/>
  <c r="U158" i="7"/>
  <c r="U144" i="7"/>
  <c r="Q26" i="7"/>
  <c r="M74" i="7"/>
  <c r="O47" i="7"/>
  <c r="M142" i="7"/>
  <c r="P142" i="7" s="1"/>
  <c r="M141" i="7"/>
  <c r="P141" i="7" s="1"/>
  <c r="P125" i="7"/>
  <c r="N123" i="7"/>
  <c r="P123" i="7" s="1"/>
  <c r="I83" i="7"/>
  <c r="S75" i="7"/>
  <c r="S23" i="7"/>
  <c r="O62" i="7"/>
  <c r="P25" i="7"/>
  <c r="P22" i="7"/>
  <c r="M19" i="7"/>
  <c r="S141" i="7"/>
  <c r="S139" i="7" s="1"/>
  <c r="Q96" i="7"/>
  <c r="N26" i="7"/>
  <c r="N24" i="7" s="1"/>
  <c r="O19" i="7"/>
  <c r="T144" i="7"/>
  <c r="I93" i="7"/>
  <c r="K93" i="7" s="1"/>
  <c r="Q78" i="7"/>
  <c r="T78" i="7" s="1"/>
  <c r="U77" i="7"/>
  <c r="O77" i="7"/>
  <c r="Q75" i="7"/>
  <c r="T75" i="7" s="1"/>
  <c r="N65" i="7"/>
  <c r="O65" i="7" s="1"/>
  <c r="O64" i="7"/>
  <c r="N50" i="7"/>
  <c r="O49" i="7"/>
  <c r="N23" i="7"/>
  <c r="N20" i="7" s="1"/>
  <c r="N18" i="7" s="1"/>
  <c r="R119" i="7"/>
  <c r="L119" i="7"/>
  <c r="R96" i="7"/>
  <c r="U96" i="7" s="1"/>
  <c r="L96" i="7"/>
  <c r="O96" i="7" s="1"/>
  <c r="T80" i="7"/>
  <c r="T77" i="7"/>
  <c r="N74" i="7"/>
  <c r="N72" i="7" s="1"/>
  <c r="N61" i="7"/>
  <c r="N59" i="7" s="1"/>
  <c r="N46" i="7"/>
  <c r="M23" i="7"/>
  <c r="M21" i="7" s="1"/>
  <c r="M61" i="7"/>
  <c r="M46" i="7"/>
  <c r="R26" i="7"/>
  <c r="L26" i="7"/>
  <c r="R23" i="7"/>
  <c r="L23" i="7"/>
  <c r="Q23" i="7"/>
  <c r="R616" i="6"/>
  <c r="O418" i="6"/>
  <c r="L415" i="6"/>
  <c r="L413" i="6" s="1"/>
  <c r="P498" i="2"/>
  <c r="K781" i="5"/>
  <c r="K772" i="5"/>
  <c r="K705" i="5"/>
  <c r="J675" i="5"/>
  <c r="L236" i="5"/>
  <c r="U142" i="5"/>
  <c r="O65" i="5"/>
  <c r="K783" i="6"/>
  <c r="U733" i="6"/>
  <c r="S731" i="6"/>
  <c r="T731" i="6" s="1"/>
  <c r="R730" i="6"/>
  <c r="K727" i="6"/>
  <c r="P715" i="6"/>
  <c r="S692" i="6"/>
  <c r="S690" i="6" s="1"/>
  <c r="U647" i="6"/>
  <c r="R644" i="6"/>
  <c r="O643" i="6"/>
  <c r="K629" i="6"/>
  <c r="S618" i="6"/>
  <c r="S616" i="6" s="1"/>
  <c r="P617" i="6"/>
  <c r="L605" i="6"/>
  <c r="O605" i="6" s="1"/>
  <c r="N557" i="6"/>
  <c r="N555" i="6" s="1"/>
  <c r="N515" i="6"/>
  <c r="N513" i="6" s="1"/>
  <c r="S415" i="6"/>
  <c r="S413" i="6" s="1"/>
  <c r="S416" i="6"/>
  <c r="L284" i="6"/>
  <c r="O284" i="6" s="1"/>
  <c r="Q266" i="6"/>
  <c r="T267" i="6"/>
  <c r="K220" i="6"/>
  <c r="P191" i="6"/>
  <c r="S119" i="6"/>
  <c r="S117" i="6" s="1"/>
  <c r="S120" i="6"/>
  <c r="T120" i="6" s="1"/>
  <c r="K93" i="6"/>
  <c r="L78" i="6"/>
  <c r="O78" i="6" s="1"/>
  <c r="N62" i="6"/>
  <c r="O62" i="6" s="1"/>
  <c r="R605" i="6"/>
  <c r="U605" i="6" s="1"/>
  <c r="Q495" i="6"/>
  <c r="Q493" i="6" s="1"/>
  <c r="T493" i="6" s="1"/>
  <c r="T498" i="6"/>
  <c r="I195" i="6"/>
  <c r="K198" i="6"/>
  <c r="T380" i="4"/>
  <c r="T692" i="5"/>
  <c r="J702" i="6"/>
  <c r="N642" i="6"/>
  <c r="U621" i="6"/>
  <c r="R619" i="6"/>
  <c r="U619" i="6" s="1"/>
  <c r="S601" i="6"/>
  <c r="S599" i="6" s="1"/>
  <c r="L582" i="6"/>
  <c r="O582" i="6" s="1"/>
  <c r="L578" i="6"/>
  <c r="O578" i="6" s="1"/>
  <c r="O542" i="6"/>
  <c r="L540" i="6"/>
  <c r="O540" i="6" s="1"/>
  <c r="L537" i="6"/>
  <c r="O537" i="6" s="1"/>
  <c r="M419" i="6"/>
  <c r="P419" i="6" s="1"/>
  <c r="P421" i="6"/>
  <c r="M188" i="6"/>
  <c r="M186" i="6" s="1"/>
  <c r="M189" i="6"/>
  <c r="P187" i="6"/>
  <c r="K152" i="6"/>
  <c r="R145" i="6"/>
  <c r="U145" i="6" s="1"/>
  <c r="U147" i="6"/>
  <c r="R142" i="6"/>
  <c r="U142" i="6" s="1"/>
  <c r="U144" i="6"/>
  <c r="P64" i="6"/>
  <c r="Q19" i="6"/>
  <c r="T22" i="6"/>
  <c r="L214" i="1"/>
  <c r="O214" i="1" s="1"/>
  <c r="N622" i="1"/>
  <c r="Q395" i="6"/>
  <c r="T395" i="6" s="1"/>
  <c r="T397" i="6"/>
  <c r="Q394" i="6"/>
  <c r="T394" i="6" s="1"/>
  <c r="Q731" i="5"/>
  <c r="J702" i="5"/>
  <c r="O325" i="5"/>
  <c r="U303" i="5"/>
  <c r="T604" i="6"/>
  <c r="Q601" i="6"/>
  <c r="T601" i="6" s="1"/>
  <c r="O600" i="6"/>
  <c r="O539" i="6"/>
  <c r="T515" i="6"/>
  <c r="L495" i="6"/>
  <c r="L496" i="6"/>
  <c r="O496" i="6" s="1"/>
  <c r="O498" i="6"/>
  <c r="Q496" i="6"/>
  <c r="T496" i="6" s="1"/>
  <c r="L377" i="6"/>
  <c r="O377" i="6" s="1"/>
  <c r="L378" i="6"/>
  <c r="O378" i="6" s="1"/>
  <c r="O380" i="6"/>
  <c r="S282" i="6"/>
  <c r="M269" i="6"/>
  <c r="P269" i="6" s="1"/>
  <c r="P271" i="6"/>
  <c r="L163" i="6"/>
  <c r="O163" i="6" s="1"/>
  <c r="O165" i="6"/>
  <c r="P158" i="6"/>
  <c r="T144" i="6"/>
  <c r="Q142" i="6"/>
  <c r="T142" i="6" s="1"/>
  <c r="N19" i="6"/>
  <c r="Q377" i="6"/>
  <c r="Q375" i="6" s="1"/>
  <c r="T380" i="6"/>
  <c r="L145" i="6"/>
  <c r="O145" i="6" s="1"/>
  <c r="O147" i="6"/>
  <c r="S763" i="5"/>
  <c r="L519" i="5"/>
  <c r="O519" i="5" s="1"/>
  <c r="L601" i="6"/>
  <c r="L599" i="6" s="1"/>
  <c r="J503" i="6"/>
  <c r="J492" i="6" s="1"/>
  <c r="K506" i="6"/>
  <c r="K433" i="6"/>
  <c r="K424" i="6"/>
  <c r="J343" i="6"/>
  <c r="L269" i="6"/>
  <c r="O269" i="6" s="1"/>
  <c r="Q78" i="6"/>
  <c r="T78" i="6" s="1"/>
  <c r="T80" i="6"/>
  <c r="Q74" i="6"/>
  <c r="T74" i="6" s="1"/>
  <c r="Q75" i="6"/>
  <c r="T75" i="6" s="1"/>
  <c r="T77" i="6"/>
  <c r="P25" i="6"/>
  <c r="M19" i="6"/>
  <c r="L288" i="6"/>
  <c r="O288" i="6" s="1"/>
  <c r="O290" i="6"/>
  <c r="T147" i="3"/>
  <c r="R75" i="4"/>
  <c r="U75" i="4" s="1"/>
  <c r="P64" i="4"/>
  <c r="K779" i="5"/>
  <c r="T194" i="5"/>
  <c r="Q145" i="5"/>
  <c r="T145" i="5" s="1"/>
  <c r="K779" i="6"/>
  <c r="R762" i="6"/>
  <c r="U762" i="6" s="1"/>
  <c r="O729" i="6"/>
  <c r="R714" i="6"/>
  <c r="U714" i="6" s="1"/>
  <c r="M601" i="6"/>
  <c r="M599" i="6" s="1"/>
  <c r="R601" i="6"/>
  <c r="U601" i="6" s="1"/>
  <c r="O581" i="6"/>
  <c r="L579" i="6"/>
  <c r="O579" i="6" s="1"/>
  <c r="S576" i="6"/>
  <c r="R576" i="6"/>
  <c r="U576" i="6" s="1"/>
  <c r="R495" i="6"/>
  <c r="U495" i="6" s="1"/>
  <c r="U498" i="6"/>
  <c r="R377" i="6"/>
  <c r="R375" i="6" s="1"/>
  <c r="U380" i="6"/>
  <c r="K368" i="6"/>
  <c r="S159" i="6"/>
  <c r="S160" i="6"/>
  <c r="N119" i="6"/>
  <c r="N117" i="6" s="1"/>
  <c r="Q59" i="6"/>
  <c r="T59" i="6" s="1"/>
  <c r="T61" i="6"/>
  <c r="Q44" i="6"/>
  <c r="T44" i="6" s="1"/>
  <c r="O501" i="6"/>
  <c r="U397" i="6"/>
  <c r="P394" i="6"/>
  <c r="O364" i="6"/>
  <c r="N335" i="6"/>
  <c r="L336" i="6"/>
  <c r="T334" i="6"/>
  <c r="Q320" i="6"/>
  <c r="T320" i="6" s="1"/>
  <c r="S305" i="6"/>
  <c r="S303" i="6" s="1"/>
  <c r="U271" i="6"/>
  <c r="R268" i="6"/>
  <c r="R266" i="6" s="1"/>
  <c r="L254" i="6"/>
  <c r="O254" i="6" s="1"/>
  <c r="L233" i="6"/>
  <c r="K229" i="6"/>
  <c r="L222" i="6"/>
  <c r="O222" i="6" s="1"/>
  <c r="T191" i="6"/>
  <c r="O181" i="6"/>
  <c r="N175" i="6"/>
  <c r="N173" i="6" s="1"/>
  <c r="S157" i="6"/>
  <c r="N141" i="6"/>
  <c r="N139" i="6" s="1"/>
  <c r="K108" i="6"/>
  <c r="T99" i="6"/>
  <c r="P80" i="6"/>
  <c r="T73" i="6"/>
  <c r="S59" i="6"/>
  <c r="R59" i="6"/>
  <c r="U59" i="6" s="1"/>
  <c r="U25" i="6"/>
  <c r="S513" i="6"/>
  <c r="K503" i="6"/>
  <c r="P418" i="6"/>
  <c r="L362" i="6"/>
  <c r="O362" i="6" s="1"/>
  <c r="J351" i="6"/>
  <c r="M335" i="6"/>
  <c r="M333" i="6" s="1"/>
  <c r="S333" i="6"/>
  <c r="M309" i="6"/>
  <c r="P309" i="6" s="1"/>
  <c r="L203" i="6"/>
  <c r="O203" i="6" s="1"/>
  <c r="S188" i="6"/>
  <c r="S186" i="6" s="1"/>
  <c r="M175" i="6"/>
  <c r="M173" i="6" s="1"/>
  <c r="S176" i="6"/>
  <c r="N159" i="6"/>
  <c r="N157" i="6" s="1"/>
  <c r="O97" i="6"/>
  <c r="N74" i="6"/>
  <c r="N72" i="6" s="1"/>
  <c r="S320" i="6"/>
  <c r="N232" i="6"/>
  <c r="K195" i="6"/>
  <c r="K183" i="6"/>
  <c r="M179" i="6"/>
  <c r="P179" i="6" s="1"/>
  <c r="M159" i="6"/>
  <c r="P159" i="6" s="1"/>
  <c r="S96" i="6"/>
  <c r="S94" i="6" s="1"/>
  <c r="N46" i="6"/>
  <c r="N44" i="6" s="1"/>
  <c r="S44" i="6"/>
  <c r="M495" i="6"/>
  <c r="P495" i="6" s="1"/>
  <c r="S496" i="6"/>
  <c r="K425" i="6"/>
  <c r="M415" i="6"/>
  <c r="M377" i="6"/>
  <c r="P377" i="6" s="1"/>
  <c r="S378" i="6"/>
  <c r="T378" i="6" s="1"/>
  <c r="K369" i="6"/>
  <c r="L305" i="6"/>
  <c r="O305" i="6" s="1"/>
  <c r="N268" i="6"/>
  <c r="N266" i="6" s="1"/>
  <c r="L236" i="6"/>
  <c r="L214" i="6"/>
  <c r="O214" i="6" s="1"/>
  <c r="Q188" i="6"/>
  <c r="Q186" i="6" s="1"/>
  <c r="T186" i="6" s="1"/>
  <c r="M163" i="6"/>
  <c r="P163" i="6" s="1"/>
  <c r="T97" i="6"/>
  <c r="R74" i="6"/>
  <c r="R72" i="6" s="1"/>
  <c r="U72" i="6" s="1"/>
  <c r="L74" i="6"/>
  <c r="O74" i="6" s="1"/>
  <c r="N75" i="6"/>
  <c r="O416" i="4"/>
  <c r="Q693" i="5"/>
  <c r="R394" i="5"/>
  <c r="U394" i="5" s="1"/>
  <c r="I138" i="5"/>
  <c r="K138" i="5" s="1"/>
  <c r="K153" i="5"/>
  <c r="R145" i="5"/>
  <c r="U145" i="5" s="1"/>
  <c r="U147" i="5"/>
  <c r="Q123" i="5"/>
  <c r="T123" i="5" s="1"/>
  <c r="T125" i="5"/>
  <c r="L760" i="6"/>
  <c r="O760" i="6" s="1"/>
  <c r="O761" i="6"/>
  <c r="M557" i="6"/>
  <c r="P560" i="6"/>
  <c r="M558" i="6"/>
  <c r="P558" i="6" s="1"/>
  <c r="T535" i="6"/>
  <c r="Q534" i="6"/>
  <c r="T534" i="6" s="1"/>
  <c r="N284" i="6"/>
  <c r="N282" i="6" s="1"/>
  <c r="N285" i="6"/>
  <c r="R189" i="6"/>
  <c r="U189" i="6" s="1"/>
  <c r="U191" i="6"/>
  <c r="R188" i="6"/>
  <c r="U188" i="6" s="1"/>
  <c r="U174" i="6"/>
  <c r="Q160" i="6"/>
  <c r="T160" i="6" s="1"/>
  <c r="T162" i="6"/>
  <c r="Q159" i="6"/>
  <c r="O158" i="6"/>
  <c r="N359" i="6"/>
  <c r="N358" i="6"/>
  <c r="N356" i="6" s="1"/>
  <c r="P334" i="6"/>
  <c r="P519" i="2"/>
  <c r="J675" i="4"/>
  <c r="M419" i="4"/>
  <c r="P419" i="4" s="1"/>
  <c r="I253" i="4"/>
  <c r="K253" i="4" s="1"/>
  <c r="K109" i="4"/>
  <c r="O563" i="5"/>
  <c r="M561" i="5"/>
  <c r="P561" i="5" s="1"/>
  <c r="L537" i="5"/>
  <c r="O537" i="5" s="1"/>
  <c r="M499" i="5"/>
  <c r="P499" i="5" s="1"/>
  <c r="M323" i="5"/>
  <c r="P323" i="5" s="1"/>
  <c r="P325" i="5"/>
  <c r="T162" i="5"/>
  <c r="R159" i="5"/>
  <c r="U159" i="5" s="1"/>
  <c r="T99" i="5"/>
  <c r="O67" i="5"/>
  <c r="U761" i="6"/>
  <c r="J701" i="6"/>
  <c r="U691" i="6"/>
  <c r="J675" i="6"/>
  <c r="Q605" i="6"/>
  <c r="T605" i="6" s="1"/>
  <c r="M561" i="6"/>
  <c r="P561" i="6" s="1"/>
  <c r="O560" i="6"/>
  <c r="L557" i="6"/>
  <c r="L558" i="6"/>
  <c r="O558" i="6" s="1"/>
  <c r="I423" i="6"/>
  <c r="K440" i="6"/>
  <c r="S394" i="6"/>
  <c r="S392" i="6" s="1"/>
  <c r="S395" i="6"/>
  <c r="R356" i="6"/>
  <c r="U356" i="6" s="1"/>
  <c r="U357" i="6"/>
  <c r="L192" i="6"/>
  <c r="O192" i="6" s="1"/>
  <c r="L188" i="6"/>
  <c r="L186" i="6" s="1"/>
  <c r="O194" i="6"/>
  <c r="L26" i="6"/>
  <c r="O26" i="6" s="1"/>
  <c r="L50" i="6"/>
  <c r="O50" i="6" s="1"/>
  <c r="O52" i="6"/>
  <c r="Q693" i="6"/>
  <c r="T693" i="6" s="1"/>
  <c r="Q692" i="6"/>
  <c r="T692" i="6" s="1"/>
  <c r="T695" i="6"/>
  <c r="I185" i="1"/>
  <c r="K185" i="1" s="1"/>
  <c r="T194" i="3"/>
  <c r="S378" i="4"/>
  <c r="U378" i="4" s="1"/>
  <c r="P181" i="4"/>
  <c r="I701" i="5"/>
  <c r="O604" i="5"/>
  <c r="P518" i="5"/>
  <c r="U397" i="5"/>
  <c r="O380" i="5"/>
  <c r="M358" i="5"/>
  <c r="M356" i="5" s="1"/>
  <c r="O290" i="5"/>
  <c r="L50" i="5"/>
  <c r="O50" i="5" s="1"/>
  <c r="O52" i="5"/>
  <c r="T761" i="6"/>
  <c r="L714" i="6"/>
  <c r="O714" i="6" s="1"/>
  <c r="I701" i="6"/>
  <c r="K701" i="6" s="1"/>
  <c r="K703" i="6"/>
  <c r="T691" i="6"/>
  <c r="P600" i="6"/>
  <c r="Q576" i="6"/>
  <c r="T576" i="6" s="1"/>
  <c r="T578" i="6"/>
  <c r="P494" i="6"/>
  <c r="N378" i="6"/>
  <c r="N377" i="6"/>
  <c r="N375" i="6" s="1"/>
  <c r="Q356" i="6"/>
  <c r="T356" i="6" s="1"/>
  <c r="T357" i="6"/>
  <c r="N323" i="6"/>
  <c r="N322" i="6"/>
  <c r="N320" i="6" s="1"/>
  <c r="L243" i="6"/>
  <c r="L235" i="6"/>
  <c r="M578" i="6"/>
  <c r="P578" i="6" s="1"/>
  <c r="P581" i="6"/>
  <c r="O577" i="6"/>
  <c r="U535" i="6"/>
  <c r="R534" i="6"/>
  <c r="U534" i="6" s="1"/>
  <c r="S395" i="4"/>
  <c r="U380" i="4"/>
  <c r="M188" i="4"/>
  <c r="K153" i="4"/>
  <c r="K784" i="5"/>
  <c r="S690" i="5"/>
  <c r="R618" i="5"/>
  <c r="R616" i="5" s="1"/>
  <c r="P581" i="5"/>
  <c r="K424" i="5"/>
  <c r="P416" i="5"/>
  <c r="T397" i="5"/>
  <c r="K371" i="5"/>
  <c r="L359" i="5"/>
  <c r="O361" i="5"/>
  <c r="L233" i="5"/>
  <c r="K220" i="5"/>
  <c r="K183" i="5"/>
  <c r="M163" i="5"/>
  <c r="P163" i="5" s="1"/>
  <c r="P165" i="5"/>
  <c r="S157" i="5"/>
  <c r="M141" i="5"/>
  <c r="P67" i="5"/>
  <c r="Q714" i="6"/>
  <c r="T714" i="6" s="1"/>
  <c r="N690" i="6"/>
  <c r="N602" i="6"/>
  <c r="P604" i="6"/>
  <c r="N601" i="6"/>
  <c r="N599" i="6" s="1"/>
  <c r="M579" i="6"/>
  <c r="P579" i="6" s="1"/>
  <c r="R555" i="6"/>
  <c r="U555" i="6" s="1"/>
  <c r="N536" i="6"/>
  <c r="N534" i="6" s="1"/>
  <c r="M326" i="6"/>
  <c r="P326" i="6" s="1"/>
  <c r="S268" i="5"/>
  <c r="S266" i="5" s="1"/>
  <c r="S269" i="5"/>
  <c r="L690" i="6"/>
  <c r="O690" i="6" s="1"/>
  <c r="O691" i="6"/>
  <c r="L519" i="6"/>
  <c r="O519" i="6" s="1"/>
  <c r="O521" i="6"/>
  <c r="O376" i="6"/>
  <c r="K319" i="1"/>
  <c r="P77" i="4"/>
  <c r="U607" i="5"/>
  <c r="U604" i="5"/>
  <c r="K503" i="5"/>
  <c r="P364" i="5"/>
  <c r="R119" i="5"/>
  <c r="R117" i="5" s="1"/>
  <c r="Q763" i="6"/>
  <c r="T763" i="6" s="1"/>
  <c r="Q762" i="6"/>
  <c r="T762" i="6" s="1"/>
  <c r="T765" i="6"/>
  <c r="M690" i="6"/>
  <c r="P690" i="6" s="1"/>
  <c r="K626" i="6"/>
  <c r="K630" i="6"/>
  <c r="K632" i="6"/>
  <c r="P577" i="6"/>
  <c r="P542" i="6"/>
  <c r="M540" i="6"/>
  <c r="P540" i="6" s="1"/>
  <c r="T418" i="6"/>
  <c r="Q416" i="6"/>
  <c r="Q415" i="6"/>
  <c r="O328" i="6"/>
  <c r="L326" i="6"/>
  <c r="O326" i="6" s="1"/>
  <c r="Q306" i="6"/>
  <c r="T306" i="6" s="1"/>
  <c r="Q305" i="6"/>
  <c r="T305" i="6" s="1"/>
  <c r="T308" i="6"/>
  <c r="K346" i="5"/>
  <c r="T175" i="5"/>
  <c r="N96" i="5"/>
  <c r="N94" i="5" s="1"/>
  <c r="T729" i="6"/>
  <c r="T715" i="6"/>
  <c r="U695" i="6"/>
  <c r="R692" i="6"/>
  <c r="U692" i="6" s="1"/>
  <c r="P691" i="6"/>
  <c r="T621" i="6"/>
  <c r="M536" i="6"/>
  <c r="P536" i="6" s="1"/>
  <c r="O518" i="6"/>
  <c r="L515" i="6"/>
  <c r="O515" i="6" s="1"/>
  <c r="L416" i="6"/>
  <c r="P361" i="6"/>
  <c r="M359" i="6"/>
  <c r="I319" i="6"/>
  <c r="K319" i="6" s="1"/>
  <c r="K330" i="6"/>
  <c r="L322" i="6"/>
  <c r="O322" i="6" s="1"/>
  <c r="P287" i="6"/>
  <c r="M284" i="6"/>
  <c r="M285" i="6"/>
  <c r="P285" i="6" s="1"/>
  <c r="O283" i="6"/>
  <c r="R192" i="6"/>
  <c r="U192" i="6" s="1"/>
  <c r="U194" i="6"/>
  <c r="L46" i="5"/>
  <c r="L44" i="5" s="1"/>
  <c r="K772" i="6"/>
  <c r="N578" i="6"/>
  <c r="N576" i="6" s="1"/>
  <c r="O514" i="6"/>
  <c r="S493" i="6"/>
  <c r="K441" i="6"/>
  <c r="L419" i="6"/>
  <c r="O419" i="6" s="1"/>
  <c r="R415" i="6"/>
  <c r="K386" i="6"/>
  <c r="I374" i="6"/>
  <c r="O361" i="6"/>
  <c r="L359" i="6"/>
  <c r="O321" i="6"/>
  <c r="K314" i="6"/>
  <c r="O311" i="6"/>
  <c r="L309" i="6"/>
  <c r="O309" i="6" s="1"/>
  <c r="R282" i="6"/>
  <c r="U282" i="6" s="1"/>
  <c r="O19" i="6"/>
  <c r="M605" i="6"/>
  <c r="P605" i="6" s="1"/>
  <c r="Q555" i="6"/>
  <c r="T555" i="6" s="1"/>
  <c r="P535" i="6"/>
  <c r="P518" i="6"/>
  <c r="M516" i="6"/>
  <c r="P516" i="6" s="1"/>
  <c r="R513" i="6"/>
  <c r="U513" i="6" s="1"/>
  <c r="U514" i="6"/>
  <c r="K371" i="6"/>
  <c r="J332" i="6"/>
  <c r="P341" i="6"/>
  <c r="M339" i="6"/>
  <c r="P339" i="6" s="1"/>
  <c r="T304" i="6"/>
  <c r="Q123" i="6"/>
  <c r="T123" i="6" s="1"/>
  <c r="Q119" i="6"/>
  <c r="T125" i="6"/>
  <c r="Q26" i="6"/>
  <c r="L616" i="6"/>
  <c r="O616" i="6" s="1"/>
  <c r="R416" i="6"/>
  <c r="P376" i="6"/>
  <c r="S356" i="6"/>
  <c r="L356" i="6"/>
  <c r="O357" i="6"/>
  <c r="I332" i="6"/>
  <c r="K344" i="6"/>
  <c r="O341" i="6"/>
  <c r="L339" i="6"/>
  <c r="O339" i="6" s="1"/>
  <c r="R320" i="6"/>
  <c r="U320" i="6" s="1"/>
  <c r="U321" i="6"/>
  <c r="U308" i="6"/>
  <c r="R305" i="6"/>
  <c r="U305" i="6" s="1"/>
  <c r="L46" i="6"/>
  <c r="M322" i="6"/>
  <c r="O287" i="6"/>
  <c r="L285" i="6"/>
  <c r="O285" i="6" s="1"/>
  <c r="Q282" i="6"/>
  <c r="T282" i="6" s="1"/>
  <c r="T283" i="6"/>
  <c r="L272" i="6"/>
  <c r="O272" i="6" s="1"/>
  <c r="L268" i="6"/>
  <c r="U158" i="6"/>
  <c r="M141" i="6"/>
  <c r="P141" i="6" s="1"/>
  <c r="R269" i="6"/>
  <c r="U269" i="6" s="1"/>
  <c r="I242" i="6"/>
  <c r="K249" i="6"/>
  <c r="L142" i="6"/>
  <c r="O142" i="6" s="1"/>
  <c r="L141" i="6"/>
  <c r="O144" i="6"/>
  <c r="M97" i="6"/>
  <c r="P97" i="6" s="1"/>
  <c r="P99" i="6"/>
  <c r="M96" i="6"/>
  <c r="U95" i="6"/>
  <c r="I265" i="6"/>
  <c r="K265" i="6" s="1"/>
  <c r="K276" i="6"/>
  <c r="I202" i="6"/>
  <c r="K202" i="6" s="1"/>
  <c r="Q176" i="6"/>
  <c r="T176" i="6" s="1"/>
  <c r="T178" i="6"/>
  <c r="Q175" i="6"/>
  <c r="O174" i="6"/>
  <c r="P147" i="6"/>
  <c r="M145" i="6"/>
  <c r="P145" i="6" s="1"/>
  <c r="S142" i="6"/>
  <c r="S141" i="6"/>
  <c r="S139" i="6" s="1"/>
  <c r="K88" i="6"/>
  <c r="I82" i="6"/>
  <c r="P60" i="6"/>
  <c r="T19" i="6"/>
  <c r="L23" i="6"/>
  <c r="L47" i="6"/>
  <c r="O47" i="6" s="1"/>
  <c r="O49" i="6"/>
  <c r="P19" i="6"/>
  <c r="Q269" i="6"/>
  <c r="T269" i="6" s="1"/>
  <c r="O178" i="6"/>
  <c r="O162" i="6"/>
  <c r="O99" i="6"/>
  <c r="N23" i="6"/>
  <c r="O22" i="6"/>
  <c r="T271" i="6"/>
  <c r="T194" i="6"/>
  <c r="O191" i="6"/>
  <c r="N189" i="6"/>
  <c r="U178" i="6"/>
  <c r="U162" i="6"/>
  <c r="I138" i="6"/>
  <c r="K138" i="6" s="1"/>
  <c r="I136" i="6"/>
  <c r="K136" i="6" s="1"/>
  <c r="T122" i="6"/>
  <c r="P102" i="6"/>
  <c r="U99" i="6"/>
  <c r="N96" i="6"/>
  <c r="N94" i="6" s="1"/>
  <c r="R26" i="6"/>
  <c r="U26" i="6" s="1"/>
  <c r="R78" i="6"/>
  <c r="U78" i="6" s="1"/>
  <c r="O67" i="6"/>
  <c r="O64" i="6"/>
  <c r="N26" i="6"/>
  <c r="N24" i="6" s="1"/>
  <c r="S268" i="6"/>
  <c r="S266" i="6" s="1"/>
  <c r="M268" i="6"/>
  <c r="N188" i="6"/>
  <c r="N186" i="6" s="1"/>
  <c r="L175" i="6"/>
  <c r="L173" i="6" s="1"/>
  <c r="K169" i="6"/>
  <c r="L159" i="6"/>
  <c r="O159" i="6" s="1"/>
  <c r="O122" i="6"/>
  <c r="L120" i="6"/>
  <c r="O120" i="6" s="1"/>
  <c r="R23" i="6"/>
  <c r="R75" i="6"/>
  <c r="U75" i="6" s="1"/>
  <c r="S19" i="6"/>
  <c r="O125" i="6"/>
  <c r="L123" i="6"/>
  <c r="O123" i="6" s="1"/>
  <c r="U122" i="6"/>
  <c r="R120" i="6"/>
  <c r="I83" i="6"/>
  <c r="K85" i="6"/>
  <c r="P67" i="6"/>
  <c r="M65" i="6"/>
  <c r="P65" i="6" s="1"/>
  <c r="R175" i="6"/>
  <c r="U175" i="6" s="1"/>
  <c r="R159" i="6"/>
  <c r="U159" i="6" s="1"/>
  <c r="P144" i="6"/>
  <c r="M142" i="6"/>
  <c r="P142" i="6" s="1"/>
  <c r="U125" i="6"/>
  <c r="R123" i="6"/>
  <c r="U123" i="6" s="1"/>
  <c r="L119" i="6"/>
  <c r="O119" i="6" s="1"/>
  <c r="P52" i="6"/>
  <c r="M26" i="6"/>
  <c r="M50" i="6"/>
  <c r="P50" i="6" s="1"/>
  <c r="P47" i="6"/>
  <c r="Q23" i="6"/>
  <c r="P178" i="6"/>
  <c r="P162" i="6"/>
  <c r="Q141" i="6"/>
  <c r="R96" i="6"/>
  <c r="L96" i="6"/>
  <c r="S26" i="6"/>
  <c r="S24" i="6" s="1"/>
  <c r="S23" i="6"/>
  <c r="M23" i="6"/>
  <c r="Q96" i="6"/>
  <c r="S74" i="6"/>
  <c r="S72" i="6" s="1"/>
  <c r="M74" i="6"/>
  <c r="P74" i="6" s="1"/>
  <c r="M61" i="6"/>
  <c r="M46" i="6"/>
  <c r="N495" i="5"/>
  <c r="N493" i="5" s="1"/>
  <c r="N496" i="5"/>
  <c r="R19" i="5"/>
  <c r="U22" i="5"/>
  <c r="R284" i="1"/>
  <c r="K778" i="3"/>
  <c r="K127" i="3"/>
  <c r="S730" i="4"/>
  <c r="S728" i="4" s="1"/>
  <c r="K705" i="4"/>
  <c r="M326" i="4"/>
  <c r="P326" i="4" s="1"/>
  <c r="O191" i="4"/>
  <c r="O181" i="4"/>
  <c r="S176" i="4"/>
  <c r="K778" i="5"/>
  <c r="R763" i="5"/>
  <c r="U763" i="5" s="1"/>
  <c r="M760" i="5"/>
  <c r="P760" i="5" s="1"/>
  <c r="Q642" i="5"/>
  <c r="T642" i="5" s="1"/>
  <c r="L579" i="5"/>
  <c r="O579" i="5" s="1"/>
  <c r="O581" i="5"/>
  <c r="S377" i="5"/>
  <c r="T377" i="5" s="1"/>
  <c r="S378" i="5"/>
  <c r="U378" i="5" s="1"/>
  <c r="P336" i="5"/>
  <c r="M288" i="5"/>
  <c r="P288" i="5" s="1"/>
  <c r="P290" i="5"/>
  <c r="Q59" i="5"/>
  <c r="T59" i="5" s="1"/>
  <c r="T60" i="5"/>
  <c r="N73" i="1"/>
  <c r="N72" i="1" s="1"/>
  <c r="R693" i="1"/>
  <c r="R693" i="2"/>
  <c r="U693" i="2" s="1"/>
  <c r="S119" i="3"/>
  <c r="S117" i="3" s="1"/>
  <c r="K229" i="4"/>
  <c r="K183" i="4"/>
  <c r="L175" i="4"/>
  <c r="L173" i="4" s="1"/>
  <c r="P49" i="4"/>
  <c r="R731" i="5"/>
  <c r="Q605" i="5"/>
  <c r="T605" i="5" s="1"/>
  <c r="T607" i="5"/>
  <c r="Q601" i="5"/>
  <c r="T601" i="5" s="1"/>
  <c r="Q602" i="5"/>
  <c r="T602" i="5" s="1"/>
  <c r="T604" i="5"/>
  <c r="O336" i="5"/>
  <c r="K292" i="5"/>
  <c r="I281" i="5"/>
  <c r="K281" i="5" s="1"/>
  <c r="I137" i="5"/>
  <c r="K137" i="5" s="1"/>
  <c r="K152" i="5"/>
  <c r="Q120" i="5"/>
  <c r="T122" i="5"/>
  <c r="S693" i="4"/>
  <c r="T693" i="4" s="1"/>
  <c r="O341" i="4"/>
  <c r="I82" i="4"/>
  <c r="K82" i="4" s="1"/>
  <c r="K785" i="5"/>
  <c r="K780" i="5"/>
  <c r="S760" i="5"/>
  <c r="N728" i="5"/>
  <c r="Q534" i="5"/>
  <c r="T534" i="5" s="1"/>
  <c r="T535" i="5"/>
  <c r="Q333" i="5"/>
  <c r="T333" i="5" s="1"/>
  <c r="T334" i="5"/>
  <c r="I202" i="5"/>
  <c r="K202" i="5" s="1"/>
  <c r="K209" i="5"/>
  <c r="N141" i="5"/>
  <c r="N139" i="5" s="1"/>
  <c r="N142" i="5"/>
  <c r="O142" i="5" s="1"/>
  <c r="M537" i="1"/>
  <c r="P537" i="1" s="1"/>
  <c r="M616" i="5"/>
  <c r="P616" i="5" s="1"/>
  <c r="P618" i="5"/>
  <c r="R576" i="5"/>
  <c r="U576" i="5" s="1"/>
  <c r="U578" i="5"/>
  <c r="K457" i="5"/>
  <c r="J456" i="5"/>
  <c r="K456" i="5" s="1"/>
  <c r="M377" i="5"/>
  <c r="P377" i="5" s="1"/>
  <c r="M378" i="5"/>
  <c r="P378" i="5" s="1"/>
  <c r="P380" i="5"/>
  <c r="M268" i="5"/>
  <c r="M266" i="5" s="1"/>
  <c r="P271" i="5"/>
  <c r="M269" i="5"/>
  <c r="P269" i="5" s="1"/>
  <c r="L145" i="5"/>
  <c r="O145" i="5" s="1"/>
  <c r="O147" i="5"/>
  <c r="N578" i="3"/>
  <c r="N576" i="3" s="1"/>
  <c r="P364" i="3"/>
  <c r="U80" i="3"/>
  <c r="R693" i="4"/>
  <c r="P325" i="4"/>
  <c r="T647" i="5"/>
  <c r="Q645" i="5"/>
  <c r="T645" i="5" s="1"/>
  <c r="K632" i="5"/>
  <c r="K631" i="5"/>
  <c r="T619" i="5"/>
  <c r="N362" i="1"/>
  <c r="I242" i="5"/>
  <c r="I231" i="5" s="1"/>
  <c r="K249" i="5"/>
  <c r="K709" i="3"/>
  <c r="R394" i="3"/>
  <c r="U394" i="3" s="1"/>
  <c r="T695" i="4"/>
  <c r="M602" i="4"/>
  <c r="P602" i="4" s="1"/>
  <c r="J343" i="4"/>
  <c r="L306" i="4"/>
  <c r="O306" i="4" s="1"/>
  <c r="O47" i="4"/>
  <c r="L760" i="5"/>
  <c r="O760" i="5" s="1"/>
  <c r="S731" i="5"/>
  <c r="S730" i="5"/>
  <c r="S728" i="5" s="1"/>
  <c r="T617" i="5"/>
  <c r="Q576" i="5"/>
  <c r="T576" i="5" s="1"/>
  <c r="T577" i="5"/>
  <c r="P125" i="5"/>
  <c r="M123" i="5"/>
  <c r="P123" i="5" s="1"/>
  <c r="M728" i="5"/>
  <c r="P728" i="5" s="1"/>
  <c r="N714" i="5"/>
  <c r="K709" i="5"/>
  <c r="J701" i="5"/>
  <c r="T695" i="5"/>
  <c r="Q690" i="5"/>
  <c r="O607" i="5"/>
  <c r="P539" i="5"/>
  <c r="P521" i="5"/>
  <c r="O518" i="5"/>
  <c r="N515" i="5"/>
  <c r="N513" i="5" s="1"/>
  <c r="U498" i="5"/>
  <c r="M495" i="5"/>
  <c r="P495" i="5" s="1"/>
  <c r="S496" i="5"/>
  <c r="L415" i="5"/>
  <c r="L413" i="5" s="1"/>
  <c r="N415" i="5"/>
  <c r="N413" i="5" s="1"/>
  <c r="Q394" i="5"/>
  <c r="T394" i="5" s="1"/>
  <c r="M392" i="5"/>
  <c r="P392" i="5" s="1"/>
  <c r="N358" i="5"/>
  <c r="N356" i="5" s="1"/>
  <c r="R356" i="5"/>
  <c r="U356" i="5" s="1"/>
  <c r="P338" i="5"/>
  <c r="P311" i="5"/>
  <c r="N305" i="5"/>
  <c r="N303" i="5" s="1"/>
  <c r="L214" i="5"/>
  <c r="O214" i="5" s="1"/>
  <c r="R188" i="5"/>
  <c r="R186" i="5" s="1"/>
  <c r="S176" i="5"/>
  <c r="N159" i="5"/>
  <c r="N157" i="5" s="1"/>
  <c r="K154" i="5"/>
  <c r="P122" i="5"/>
  <c r="M97" i="5"/>
  <c r="P97" i="5" s="1"/>
  <c r="I92" i="5"/>
  <c r="K92" i="5" s="1"/>
  <c r="L61" i="5"/>
  <c r="L59" i="5" s="1"/>
  <c r="R44" i="5"/>
  <c r="U44" i="5" s="1"/>
  <c r="M714" i="5"/>
  <c r="P714" i="5" s="1"/>
  <c r="N601" i="5"/>
  <c r="N599" i="5" s="1"/>
  <c r="N536" i="5"/>
  <c r="N534" i="5" s="1"/>
  <c r="M515" i="5"/>
  <c r="P515" i="5" s="1"/>
  <c r="S493" i="5"/>
  <c r="N392" i="5"/>
  <c r="Q378" i="5"/>
  <c r="N335" i="5"/>
  <c r="N333" i="5" s="1"/>
  <c r="U334" i="5"/>
  <c r="M305" i="5"/>
  <c r="P305" i="5" s="1"/>
  <c r="R306" i="5"/>
  <c r="L284" i="5"/>
  <c r="O284" i="5" s="1"/>
  <c r="L179" i="5"/>
  <c r="O179" i="5" s="1"/>
  <c r="O178" i="5"/>
  <c r="M159" i="5"/>
  <c r="M157" i="5" s="1"/>
  <c r="P157" i="5" s="1"/>
  <c r="K109" i="5"/>
  <c r="P102" i="5"/>
  <c r="L74" i="5"/>
  <c r="O74" i="5" s="1"/>
  <c r="L75" i="5"/>
  <c r="O75" i="5" s="1"/>
  <c r="S44" i="5"/>
  <c r="L690" i="5"/>
  <c r="O690" i="5" s="1"/>
  <c r="Q618" i="5"/>
  <c r="Q616" i="5" s="1"/>
  <c r="P604" i="5"/>
  <c r="P579" i="5"/>
  <c r="N558" i="5"/>
  <c r="R555" i="5"/>
  <c r="U555" i="5" s="1"/>
  <c r="R413" i="5"/>
  <c r="L362" i="5"/>
  <c r="O362" i="5" s="1"/>
  <c r="L358" i="5"/>
  <c r="J343" i="5"/>
  <c r="M335" i="5"/>
  <c r="M333" i="5" s="1"/>
  <c r="L309" i="5"/>
  <c r="O309" i="5" s="1"/>
  <c r="N306" i="5"/>
  <c r="N284" i="5"/>
  <c r="N282" i="5" s="1"/>
  <c r="N285" i="5"/>
  <c r="T271" i="5"/>
  <c r="L235" i="5"/>
  <c r="L243" i="5"/>
  <c r="S173" i="5"/>
  <c r="S160" i="5"/>
  <c r="M119" i="5"/>
  <c r="M117" i="5" s="1"/>
  <c r="P117" i="5" s="1"/>
  <c r="R74" i="5"/>
  <c r="U74" i="5" s="1"/>
  <c r="L728" i="5"/>
  <c r="O728" i="5" s="1"/>
  <c r="S714" i="5"/>
  <c r="J674" i="5"/>
  <c r="S601" i="5"/>
  <c r="S599" i="5" s="1"/>
  <c r="L601" i="5"/>
  <c r="L599" i="5" s="1"/>
  <c r="N578" i="5"/>
  <c r="N576" i="5" s="1"/>
  <c r="M557" i="5"/>
  <c r="P557" i="5" s="1"/>
  <c r="Q555" i="5"/>
  <c r="T555" i="5" s="1"/>
  <c r="L515" i="5"/>
  <c r="O515" i="5" s="1"/>
  <c r="K433" i="5"/>
  <c r="I374" i="5"/>
  <c r="L335" i="5"/>
  <c r="L333" i="5" s="1"/>
  <c r="K330" i="5"/>
  <c r="I302" i="5"/>
  <c r="K302" i="5" s="1"/>
  <c r="M284" i="5"/>
  <c r="P284" i="5" s="1"/>
  <c r="L285" i="5"/>
  <c r="O285" i="5" s="1"/>
  <c r="N243" i="5"/>
  <c r="N232" i="5" s="1"/>
  <c r="J231" i="5"/>
  <c r="J185" i="5" s="1"/>
  <c r="U178" i="5"/>
  <c r="K169" i="5"/>
  <c r="M160" i="5"/>
  <c r="P160" i="5" s="1"/>
  <c r="Q141" i="5"/>
  <c r="Q139" i="5" s="1"/>
  <c r="S141" i="5"/>
  <c r="S139" i="5" s="1"/>
  <c r="S119" i="5"/>
  <c r="S117" i="5" s="1"/>
  <c r="S120" i="5"/>
  <c r="M96" i="5"/>
  <c r="P96" i="5" s="1"/>
  <c r="S97" i="5"/>
  <c r="Q74" i="5"/>
  <c r="T74" i="5" s="1"/>
  <c r="L62" i="5"/>
  <c r="Q728" i="5"/>
  <c r="R714" i="5"/>
  <c r="U714" i="5" s="1"/>
  <c r="K689" i="5"/>
  <c r="S693" i="5"/>
  <c r="U693" i="5" s="1"/>
  <c r="M690" i="5"/>
  <c r="P690" i="5" s="1"/>
  <c r="L642" i="5"/>
  <c r="O642" i="5" s="1"/>
  <c r="R601" i="5"/>
  <c r="U601" i="5" s="1"/>
  <c r="M578" i="5"/>
  <c r="M576" i="5" s="1"/>
  <c r="L536" i="5"/>
  <c r="O536" i="5" s="1"/>
  <c r="R534" i="5"/>
  <c r="U534" i="5" s="1"/>
  <c r="Q513" i="5"/>
  <c r="T513" i="5" s="1"/>
  <c r="P498" i="5"/>
  <c r="R495" i="5"/>
  <c r="K432" i="5"/>
  <c r="S395" i="5"/>
  <c r="U380" i="5"/>
  <c r="N377" i="5"/>
  <c r="N375" i="5" s="1"/>
  <c r="R377" i="5"/>
  <c r="R375" i="5" s="1"/>
  <c r="K369" i="5"/>
  <c r="N268" i="5"/>
  <c r="N266" i="5" s="1"/>
  <c r="L234" i="5"/>
  <c r="L222" i="5"/>
  <c r="O222" i="5" s="1"/>
  <c r="I221" i="5"/>
  <c r="K221" i="5" s="1"/>
  <c r="L203" i="5"/>
  <c r="O203" i="5" s="1"/>
  <c r="L188" i="5"/>
  <c r="L186" i="5" s="1"/>
  <c r="L160" i="5"/>
  <c r="O160" i="5" s="1"/>
  <c r="O144" i="5"/>
  <c r="P77" i="5"/>
  <c r="N61" i="5"/>
  <c r="N59" i="5" s="1"/>
  <c r="T45" i="5"/>
  <c r="L19" i="5"/>
  <c r="R728" i="5"/>
  <c r="R760" i="5"/>
  <c r="U760" i="5" s="1"/>
  <c r="S642" i="5"/>
  <c r="U619" i="5"/>
  <c r="Q145" i="2"/>
  <c r="T145" i="2" s="1"/>
  <c r="K784" i="4"/>
  <c r="K772" i="4"/>
  <c r="Q731" i="4"/>
  <c r="T731" i="4" s="1"/>
  <c r="S645" i="4"/>
  <c r="K632" i="4"/>
  <c r="L602" i="4"/>
  <c r="O602" i="4" s="1"/>
  <c r="P563" i="4"/>
  <c r="P539" i="4"/>
  <c r="N515" i="4"/>
  <c r="N513" i="4" s="1"/>
  <c r="P380" i="4"/>
  <c r="S375" i="4"/>
  <c r="K293" i="4"/>
  <c r="N284" i="4"/>
  <c r="N282" i="4" s="1"/>
  <c r="L285" i="4"/>
  <c r="O285" i="4" s="1"/>
  <c r="T162" i="4"/>
  <c r="T99" i="4"/>
  <c r="I759" i="5"/>
  <c r="K759" i="5" s="1"/>
  <c r="U733" i="5"/>
  <c r="P729" i="5"/>
  <c r="P715" i="5"/>
  <c r="K707" i="5"/>
  <c r="K630" i="5"/>
  <c r="K626" i="5"/>
  <c r="N602" i="5"/>
  <c r="O602" i="5" s="1"/>
  <c r="P600" i="5"/>
  <c r="M582" i="5"/>
  <c r="P582" i="5" s="1"/>
  <c r="M558" i="5"/>
  <c r="P558" i="5" s="1"/>
  <c r="U556" i="5"/>
  <c r="O556" i="5"/>
  <c r="U535" i="5"/>
  <c r="T514" i="5"/>
  <c r="J503" i="5"/>
  <c r="J492" i="5" s="1"/>
  <c r="O501" i="5"/>
  <c r="L495" i="5"/>
  <c r="P494" i="5"/>
  <c r="K425" i="5"/>
  <c r="M415" i="5"/>
  <c r="O414" i="5"/>
  <c r="T393" i="5"/>
  <c r="K386" i="5"/>
  <c r="U321" i="5"/>
  <c r="R320" i="5"/>
  <c r="U320" i="5" s="1"/>
  <c r="M601" i="5"/>
  <c r="L557" i="5"/>
  <c r="O557" i="5" s="1"/>
  <c r="L233" i="2"/>
  <c r="J702" i="3"/>
  <c r="T271" i="3"/>
  <c r="M605" i="4"/>
  <c r="P605" i="4" s="1"/>
  <c r="L601" i="4"/>
  <c r="L599" i="4" s="1"/>
  <c r="O599" i="4" s="1"/>
  <c r="N557" i="4"/>
  <c r="N555" i="4" s="1"/>
  <c r="N536" i="4"/>
  <c r="N534" i="4" s="1"/>
  <c r="P518" i="4"/>
  <c r="N495" i="4"/>
  <c r="N493" i="4" s="1"/>
  <c r="P383" i="4"/>
  <c r="M284" i="4"/>
  <c r="P284" i="4" s="1"/>
  <c r="K198" i="4"/>
  <c r="N188" i="4"/>
  <c r="N186" i="4" s="1"/>
  <c r="U122" i="4"/>
  <c r="T77" i="4"/>
  <c r="U765" i="5"/>
  <c r="T733" i="5"/>
  <c r="K629" i="5"/>
  <c r="M605" i="5"/>
  <c r="P605" i="5" s="1"/>
  <c r="S602" i="5"/>
  <c r="M602" i="5"/>
  <c r="L582" i="5"/>
  <c r="O582" i="5" s="1"/>
  <c r="P560" i="5"/>
  <c r="L558" i="5"/>
  <c r="O558" i="5" s="1"/>
  <c r="S513" i="5"/>
  <c r="O498" i="5"/>
  <c r="U414" i="5"/>
  <c r="J374" i="5"/>
  <c r="L377" i="5"/>
  <c r="Q375" i="5"/>
  <c r="O328" i="5"/>
  <c r="L326" i="5"/>
  <c r="O326" i="5" s="1"/>
  <c r="N189" i="5"/>
  <c r="P189" i="5" s="1"/>
  <c r="N188" i="5"/>
  <c r="N186" i="5" s="1"/>
  <c r="P514" i="5"/>
  <c r="K86" i="1"/>
  <c r="U397" i="3"/>
  <c r="J674" i="4"/>
  <c r="O518" i="4"/>
  <c r="L322" i="4"/>
  <c r="O322" i="4" s="1"/>
  <c r="T765" i="5"/>
  <c r="Q762" i="5"/>
  <c r="U761" i="5"/>
  <c r="O761" i="5"/>
  <c r="T729" i="5"/>
  <c r="T715" i="5"/>
  <c r="U695" i="5"/>
  <c r="R692" i="5"/>
  <c r="P691" i="5"/>
  <c r="U647" i="5"/>
  <c r="R644" i="5"/>
  <c r="P643" i="5"/>
  <c r="S618" i="5"/>
  <c r="S616" i="5" s="1"/>
  <c r="I615" i="5"/>
  <c r="K615" i="5" s="1"/>
  <c r="T600" i="5"/>
  <c r="L578" i="5"/>
  <c r="P577" i="5"/>
  <c r="R513" i="5"/>
  <c r="U513" i="5" s="1"/>
  <c r="O393" i="5"/>
  <c r="O383" i="5"/>
  <c r="P361" i="5"/>
  <c r="M359" i="5"/>
  <c r="U305" i="5"/>
  <c r="L268" i="5"/>
  <c r="L269" i="5"/>
  <c r="O269" i="5" s="1"/>
  <c r="O271" i="5"/>
  <c r="K781" i="3"/>
  <c r="K780" i="4"/>
  <c r="K703" i="4"/>
  <c r="U604" i="4"/>
  <c r="L419" i="4"/>
  <c r="O419" i="4" s="1"/>
  <c r="U306" i="4"/>
  <c r="L214" i="4"/>
  <c r="O214" i="4" s="1"/>
  <c r="P122" i="4"/>
  <c r="P80" i="4"/>
  <c r="U621" i="5"/>
  <c r="O542" i="5"/>
  <c r="L540" i="5"/>
  <c r="O540" i="5" s="1"/>
  <c r="J423" i="5"/>
  <c r="J412" i="5" s="1"/>
  <c r="M419" i="5"/>
  <c r="P419" i="5" s="1"/>
  <c r="P418" i="5"/>
  <c r="S415" i="5"/>
  <c r="U415" i="5" s="1"/>
  <c r="U393" i="5"/>
  <c r="K293" i="5"/>
  <c r="I280" i="5"/>
  <c r="K280" i="5" s="1"/>
  <c r="U271" i="5"/>
  <c r="R268" i="5"/>
  <c r="R269" i="5"/>
  <c r="Q496" i="5"/>
  <c r="T496" i="5" s="1"/>
  <c r="P325" i="1"/>
  <c r="R579" i="1"/>
  <c r="U579" i="1" s="1"/>
  <c r="M582" i="2"/>
  <c r="P582" i="2" s="1"/>
  <c r="K785" i="4"/>
  <c r="K779" i="4"/>
  <c r="K709" i="4"/>
  <c r="J701" i="4"/>
  <c r="M557" i="4"/>
  <c r="P557" i="4" s="1"/>
  <c r="R377" i="4"/>
  <c r="U377" i="4" s="1"/>
  <c r="J351" i="4"/>
  <c r="K346" i="4"/>
  <c r="M268" i="4"/>
  <c r="M266" i="4" s="1"/>
  <c r="T145" i="4"/>
  <c r="K703" i="5"/>
  <c r="T621" i="5"/>
  <c r="M540" i="5"/>
  <c r="P540" i="5" s="1"/>
  <c r="M536" i="5"/>
  <c r="P536" i="5" s="1"/>
  <c r="Q495" i="5"/>
  <c r="K441" i="5"/>
  <c r="K423" i="5"/>
  <c r="T418" i="5"/>
  <c r="T414" i="5"/>
  <c r="I412" i="5"/>
  <c r="K412" i="5" s="1"/>
  <c r="Q356" i="5"/>
  <c r="T356" i="5" s="1"/>
  <c r="T357" i="5"/>
  <c r="N323" i="5"/>
  <c r="N322" i="5"/>
  <c r="N320" i="5" s="1"/>
  <c r="T308" i="5"/>
  <c r="Q306" i="5"/>
  <c r="Q305" i="5"/>
  <c r="T305" i="5" s="1"/>
  <c r="L419" i="5"/>
  <c r="O419" i="5" s="1"/>
  <c r="R416" i="5"/>
  <c r="U416" i="5" s="1"/>
  <c r="L416" i="5"/>
  <c r="O416" i="5" s="1"/>
  <c r="T380" i="5"/>
  <c r="N359" i="5"/>
  <c r="P357" i="5"/>
  <c r="O341" i="5"/>
  <c r="M326" i="5"/>
  <c r="P326" i="5" s="1"/>
  <c r="M322" i="5"/>
  <c r="P322" i="5" s="1"/>
  <c r="P308" i="5"/>
  <c r="O274" i="5"/>
  <c r="K241" i="5"/>
  <c r="N234" i="5"/>
  <c r="M192" i="5"/>
  <c r="P192" i="5" s="1"/>
  <c r="P191" i="5"/>
  <c r="S188" i="5"/>
  <c r="S186" i="5" s="1"/>
  <c r="U418" i="5"/>
  <c r="O418" i="5"/>
  <c r="J332" i="5"/>
  <c r="O338" i="5"/>
  <c r="L322" i="5"/>
  <c r="O322" i="5" s="1"/>
  <c r="T322" i="5"/>
  <c r="O321" i="5"/>
  <c r="M285" i="5"/>
  <c r="P285" i="5" s="1"/>
  <c r="Q282" i="5"/>
  <c r="T282" i="5" s="1"/>
  <c r="Q269" i="5"/>
  <c r="Q268" i="5"/>
  <c r="L254" i="5"/>
  <c r="O254" i="5" s="1"/>
  <c r="O196" i="5"/>
  <c r="T191" i="5"/>
  <c r="Q188" i="5"/>
  <c r="Q186" i="5" s="1"/>
  <c r="T187" i="5"/>
  <c r="Q176" i="5"/>
  <c r="T178" i="5"/>
  <c r="R160" i="5"/>
  <c r="U160" i="5" s="1"/>
  <c r="N119" i="5"/>
  <c r="N117" i="5" s="1"/>
  <c r="K86" i="5"/>
  <c r="I82" i="5"/>
  <c r="S19" i="5"/>
  <c r="I332" i="5"/>
  <c r="K344" i="5"/>
  <c r="P341" i="5"/>
  <c r="M339" i="5"/>
  <c r="P339" i="5" s="1"/>
  <c r="M306" i="5"/>
  <c r="P306" i="5" s="1"/>
  <c r="K260" i="5"/>
  <c r="N62" i="5"/>
  <c r="P62" i="5" s="1"/>
  <c r="P64" i="5"/>
  <c r="L306" i="5"/>
  <c r="O306" i="5" s="1"/>
  <c r="L305" i="5"/>
  <c r="K251" i="5"/>
  <c r="I240" i="5"/>
  <c r="K240" i="5" s="1"/>
  <c r="I238" i="5"/>
  <c r="K238" i="5" s="1"/>
  <c r="M188" i="5"/>
  <c r="N100" i="5"/>
  <c r="U308" i="5"/>
  <c r="S306" i="5"/>
  <c r="R282" i="5"/>
  <c r="U282" i="5" s="1"/>
  <c r="K198" i="5"/>
  <c r="I195" i="5"/>
  <c r="K195" i="5" s="1"/>
  <c r="T189" i="5"/>
  <c r="P181" i="5"/>
  <c r="M179" i="5"/>
  <c r="P179" i="5" s="1"/>
  <c r="O95" i="5"/>
  <c r="U19" i="5"/>
  <c r="K276" i="5"/>
  <c r="R192" i="5"/>
  <c r="U192" i="5" s="1"/>
  <c r="L192" i="5"/>
  <c r="O192" i="5" s="1"/>
  <c r="R189" i="5"/>
  <c r="U189" i="5" s="1"/>
  <c r="L189" i="5"/>
  <c r="K172" i="5"/>
  <c r="P178" i="5"/>
  <c r="N176" i="5"/>
  <c r="P176" i="5" s="1"/>
  <c r="Q159" i="5"/>
  <c r="U144" i="5"/>
  <c r="P144" i="5"/>
  <c r="M142" i="5"/>
  <c r="O122" i="5"/>
  <c r="L120" i="5"/>
  <c r="O120" i="5" s="1"/>
  <c r="R94" i="5"/>
  <c r="U94" i="5" s="1"/>
  <c r="U95" i="5"/>
  <c r="I83" i="5"/>
  <c r="L26" i="5"/>
  <c r="M65" i="5"/>
  <c r="P65" i="5" s="1"/>
  <c r="U191" i="5"/>
  <c r="O191" i="5"/>
  <c r="Q173" i="5"/>
  <c r="N160" i="5"/>
  <c r="T142" i="5"/>
  <c r="O125" i="5"/>
  <c r="L123" i="5"/>
  <c r="O123" i="5" s="1"/>
  <c r="U122" i="5"/>
  <c r="R120" i="5"/>
  <c r="L119" i="5"/>
  <c r="O119" i="5" s="1"/>
  <c r="O102" i="5"/>
  <c r="L100" i="5"/>
  <c r="O100" i="5" s="1"/>
  <c r="R26" i="5"/>
  <c r="N74" i="5"/>
  <c r="N72" i="5" s="1"/>
  <c r="N26" i="5"/>
  <c r="N24" i="5" s="1"/>
  <c r="M175" i="5"/>
  <c r="L176" i="5"/>
  <c r="L175" i="5"/>
  <c r="L163" i="5"/>
  <c r="O163" i="5" s="1"/>
  <c r="P147" i="5"/>
  <c r="M145" i="5"/>
  <c r="P145" i="5" s="1"/>
  <c r="P140" i="5"/>
  <c r="U125" i="5"/>
  <c r="R123" i="5"/>
  <c r="U123" i="5" s="1"/>
  <c r="O99" i="5"/>
  <c r="L97" i="5"/>
  <c r="O97" i="5" s="1"/>
  <c r="Q26" i="5"/>
  <c r="R59" i="5"/>
  <c r="U59" i="5" s="1"/>
  <c r="P52" i="5"/>
  <c r="M26" i="5"/>
  <c r="M50" i="5"/>
  <c r="P50" i="5" s="1"/>
  <c r="L159" i="5"/>
  <c r="O118" i="5"/>
  <c r="U99" i="5"/>
  <c r="R97" i="5"/>
  <c r="U97" i="5" s="1"/>
  <c r="L96" i="5"/>
  <c r="O96" i="5" s="1"/>
  <c r="P22" i="5"/>
  <c r="M19" i="5"/>
  <c r="R176" i="5"/>
  <c r="R175" i="5"/>
  <c r="U118" i="5"/>
  <c r="O47" i="5"/>
  <c r="P25" i="5"/>
  <c r="O19" i="5"/>
  <c r="T144" i="5"/>
  <c r="I116" i="5"/>
  <c r="K116" i="5" s="1"/>
  <c r="U80" i="5"/>
  <c r="O80" i="5"/>
  <c r="Q78" i="5"/>
  <c r="T78" i="5" s="1"/>
  <c r="U77" i="5"/>
  <c r="O77" i="5"/>
  <c r="Q75" i="5"/>
  <c r="T75" i="5" s="1"/>
  <c r="O64" i="5"/>
  <c r="N50" i="5"/>
  <c r="O49" i="5"/>
  <c r="N23" i="5"/>
  <c r="N46" i="5"/>
  <c r="S26" i="5"/>
  <c r="S24" i="5" s="1"/>
  <c r="S23" i="5"/>
  <c r="M23" i="5"/>
  <c r="M21" i="5" s="1"/>
  <c r="Q19" i="5"/>
  <c r="R141" i="5"/>
  <c r="L141" i="5"/>
  <c r="Q119" i="5"/>
  <c r="Q96" i="5"/>
  <c r="K85" i="5"/>
  <c r="S74" i="5"/>
  <c r="S72" i="5" s="1"/>
  <c r="M74" i="5"/>
  <c r="M61" i="5"/>
  <c r="M46" i="5"/>
  <c r="R23" i="5"/>
  <c r="L23" i="5"/>
  <c r="Q23" i="5"/>
  <c r="M499" i="4"/>
  <c r="P499" i="4" s="1"/>
  <c r="P501" i="4"/>
  <c r="I202" i="4"/>
  <c r="K202" i="4" s="1"/>
  <c r="P378" i="2"/>
  <c r="K365" i="2"/>
  <c r="K780" i="3"/>
  <c r="R730" i="3"/>
  <c r="U730" i="3" s="1"/>
  <c r="K369" i="3"/>
  <c r="Q762" i="4"/>
  <c r="Q760" i="4" s="1"/>
  <c r="Q763" i="4"/>
  <c r="T763" i="4" s="1"/>
  <c r="L558" i="4"/>
  <c r="O558" i="4" s="1"/>
  <c r="O560" i="4"/>
  <c r="R513" i="4"/>
  <c r="U513" i="4" s="1"/>
  <c r="K457" i="4"/>
  <c r="J456" i="4"/>
  <c r="K456" i="4" s="1"/>
  <c r="S415" i="4"/>
  <c r="S413" i="4" s="1"/>
  <c r="K365" i="4"/>
  <c r="K368" i="4"/>
  <c r="N358" i="4"/>
  <c r="N356" i="4" s="1"/>
  <c r="O359" i="4"/>
  <c r="R356" i="4"/>
  <c r="U356" i="4" s="1"/>
  <c r="U334" i="4"/>
  <c r="R333" i="4"/>
  <c r="U333" i="4" s="1"/>
  <c r="L288" i="4"/>
  <c r="O288" i="4" s="1"/>
  <c r="O290" i="4"/>
  <c r="K220" i="4"/>
  <c r="L192" i="4"/>
  <c r="O192" i="4" s="1"/>
  <c r="L189" i="4"/>
  <c r="K169" i="4"/>
  <c r="L142" i="4"/>
  <c r="O142" i="4" s="1"/>
  <c r="O144" i="4"/>
  <c r="L579" i="4"/>
  <c r="O579" i="4" s="1"/>
  <c r="O581" i="4"/>
  <c r="J425" i="1"/>
  <c r="K425" i="1" s="1"/>
  <c r="O378" i="2"/>
  <c r="L235" i="3"/>
  <c r="I82" i="3"/>
  <c r="K82" i="3" s="1"/>
  <c r="R763" i="4"/>
  <c r="U763" i="4" s="1"/>
  <c r="O691" i="4"/>
  <c r="L690" i="4"/>
  <c r="O690" i="4" s="1"/>
  <c r="S619" i="4"/>
  <c r="T619" i="4" s="1"/>
  <c r="S618" i="4"/>
  <c r="S616" i="4" s="1"/>
  <c r="R601" i="4"/>
  <c r="R599" i="4" s="1"/>
  <c r="U599" i="4" s="1"/>
  <c r="R605" i="4"/>
  <c r="U605" i="4" s="1"/>
  <c r="U607" i="4"/>
  <c r="Q555" i="4"/>
  <c r="T555" i="4" s="1"/>
  <c r="Q513" i="4"/>
  <c r="T513" i="4" s="1"/>
  <c r="R395" i="4"/>
  <c r="U395" i="4" s="1"/>
  <c r="R394" i="4"/>
  <c r="U394" i="4" s="1"/>
  <c r="U397" i="4"/>
  <c r="L392" i="4"/>
  <c r="O392" i="4" s="1"/>
  <c r="N335" i="4"/>
  <c r="N336" i="4"/>
  <c r="O336" i="4" s="1"/>
  <c r="Q306" i="4"/>
  <c r="T306" i="4" s="1"/>
  <c r="T308" i="4"/>
  <c r="K292" i="4"/>
  <c r="I281" i="4"/>
  <c r="K281" i="4" s="1"/>
  <c r="L236" i="4"/>
  <c r="R78" i="4"/>
  <c r="U78" i="4" s="1"/>
  <c r="U80" i="4"/>
  <c r="L61" i="4"/>
  <c r="L59" i="4" s="1"/>
  <c r="O64" i="4"/>
  <c r="Q19" i="4"/>
  <c r="T19" i="4" s="1"/>
  <c r="T22" i="4"/>
  <c r="M288" i="4"/>
  <c r="P288" i="4" s="1"/>
  <c r="P290" i="4"/>
  <c r="Q61" i="1"/>
  <c r="T61" i="1" s="1"/>
  <c r="O178" i="1"/>
  <c r="Q335" i="1"/>
  <c r="T335" i="1" s="1"/>
  <c r="S499" i="1"/>
  <c r="T731" i="2"/>
  <c r="O498" i="2"/>
  <c r="P287" i="2"/>
  <c r="K784" i="3"/>
  <c r="S731" i="3"/>
  <c r="U731" i="3" s="1"/>
  <c r="R692" i="3"/>
  <c r="U692" i="3" s="1"/>
  <c r="M536" i="3"/>
  <c r="P536" i="3" s="1"/>
  <c r="P378" i="3"/>
  <c r="K368" i="3"/>
  <c r="K346" i="3"/>
  <c r="P269" i="3"/>
  <c r="K209" i="3"/>
  <c r="O102" i="3"/>
  <c r="L96" i="3"/>
  <c r="L94" i="3" s="1"/>
  <c r="K774" i="4"/>
  <c r="I759" i="4"/>
  <c r="K759" i="4" s="1"/>
  <c r="I689" i="4"/>
  <c r="K689" i="4" s="1"/>
  <c r="K707" i="4"/>
  <c r="J702" i="4"/>
  <c r="M690" i="4"/>
  <c r="P690" i="4" s="1"/>
  <c r="J626" i="4"/>
  <c r="K626" i="4" s="1"/>
  <c r="M579" i="4"/>
  <c r="P579" i="4" s="1"/>
  <c r="S576" i="4"/>
  <c r="T535" i="4"/>
  <c r="Q534" i="4"/>
  <c r="T534" i="4" s="1"/>
  <c r="M496" i="4"/>
  <c r="P496" i="4" s="1"/>
  <c r="U418" i="4"/>
  <c r="R416" i="4"/>
  <c r="U416" i="4" s="1"/>
  <c r="Q395" i="4"/>
  <c r="T395" i="4" s="1"/>
  <c r="Q394" i="4"/>
  <c r="T394" i="4" s="1"/>
  <c r="T397" i="4"/>
  <c r="N377" i="4"/>
  <c r="N375" i="4" s="1"/>
  <c r="N378" i="4"/>
  <c r="O361" i="4"/>
  <c r="M336" i="4"/>
  <c r="P338" i="4"/>
  <c r="N268" i="4"/>
  <c r="N266" i="4" s="1"/>
  <c r="L243" i="4"/>
  <c r="O243" i="4" s="1"/>
  <c r="L235" i="4"/>
  <c r="R142" i="4"/>
  <c r="U142" i="4" s="1"/>
  <c r="U144" i="4"/>
  <c r="Q120" i="4"/>
  <c r="T120" i="4" s="1"/>
  <c r="T122" i="4"/>
  <c r="Q44" i="4"/>
  <c r="T44" i="4" s="1"/>
  <c r="T46" i="4"/>
  <c r="T604" i="4"/>
  <c r="Q601" i="4"/>
  <c r="T601" i="4" s="1"/>
  <c r="M97" i="4"/>
  <c r="P97" i="4" s="1"/>
  <c r="P99" i="4"/>
  <c r="R59" i="4"/>
  <c r="U59" i="4" s="1"/>
  <c r="U61" i="4"/>
  <c r="Q394" i="1"/>
  <c r="T394" i="1" s="1"/>
  <c r="R120" i="1"/>
  <c r="S179" i="1"/>
  <c r="L495" i="3"/>
  <c r="K280" i="1"/>
  <c r="R617" i="1"/>
  <c r="U617" i="1" s="1"/>
  <c r="K653" i="1"/>
  <c r="K774" i="3"/>
  <c r="K705" i="3"/>
  <c r="M381" i="3"/>
  <c r="P381" i="3" s="1"/>
  <c r="S160" i="3"/>
  <c r="O77" i="3"/>
  <c r="L714" i="4"/>
  <c r="O714" i="4" s="1"/>
  <c r="Q645" i="4"/>
  <c r="T645" i="4" s="1"/>
  <c r="K629" i="4"/>
  <c r="I615" i="4"/>
  <c r="K630" i="4"/>
  <c r="Q602" i="4"/>
  <c r="T602" i="4" s="1"/>
  <c r="L499" i="4"/>
  <c r="O499" i="4" s="1"/>
  <c r="J458" i="4"/>
  <c r="Q416" i="4"/>
  <c r="T416" i="4" s="1"/>
  <c r="T418" i="4"/>
  <c r="O338" i="4"/>
  <c r="L335" i="4"/>
  <c r="L333" i="4" s="1"/>
  <c r="N175" i="4"/>
  <c r="N173" i="4" s="1"/>
  <c r="R145" i="4"/>
  <c r="U145" i="4" s="1"/>
  <c r="U147" i="4"/>
  <c r="Q141" i="4"/>
  <c r="Q139" i="4" s="1"/>
  <c r="Q142" i="4"/>
  <c r="T142" i="4" s="1"/>
  <c r="L62" i="4"/>
  <c r="O62" i="4" s="1"/>
  <c r="J374" i="3"/>
  <c r="O383" i="3"/>
  <c r="U377" i="3"/>
  <c r="P287" i="3"/>
  <c r="L236" i="3"/>
  <c r="M163" i="3"/>
  <c r="P163" i="3" s="1"/>
  <c r="K108" i="3"/>
  <c r="O64" i="3"/>
  <c r="K758" i="4"/>
  <c r="S714" i="4"/>
  <c r="Q714" i="4"/>
  <c r="T714" i="4" s="1"/>
  <c r="R534" i="4"/>
  <c r="U534" i="4" s="1"/>
  <c r="U536" i="4"/>
  <c r="N392" i="4"/>
  <c r="K371" i="4"/>
  <c r="K344" i="4"/>
  <c r="M309" i="4"/>
  <c r="P309" i="4" s="1"/>
  <c r="R192" i="4"/>
  <c r="U192" i="4" s="1"/>
  <c r="I137" i="4"/>
  <c r="K137" i="4" s="1"/>
  <c r="K152" i="4"/>
  <c r="Q123" i="4"/>
  <c r="T123" i="4" s="1"/>
  <c r="T125" i="4"/>
  <c r="N120" i="4"/>
  <c r="N119" i="4"/>
  <c r="N117" i="4" s="1"/>
  <c r="Q59" i="4"/>
  <c r="T59" i="4" s="1"/>
  <c r="S690" i="4"/>
  <c r="N642" i="4"/>
  <c r="N601" i="4"/>
  <c r="N599" i="4" s="1"/>
  <c r="R576" i="4"/>
  <c r="U576" i="4" s="1"/>
  <c r="S493" i="4"/>
  <c r="J374" i="4"/>
  <c r="M377" i="4"/>
  <c r="P377" i="4" s="1"/>
  <c r="Q333" i="4"/>
  <c r="T333" i="4" s="1"/>
  <c r="L309" i="4"/>
  <c r="O309" i="4" s="1"/>
  <c r="L233" i="4"/>
  <c r="L222" i="4"/>
  <c r="O222" i="4" s="1"/>
  <c r="K195" i="4"/>
  <c r="N19" i="4"/>
  <c r="M728" i="4"/>
  <c r="P728" i="4" s="1"/>
  <c r="S601" i="4"/>
  <c r="S599" i="4" s="1"/>
  <c r="M601" i="4"/>
  <c r="P601" i="4" s="1"/>
  <c r="S602" i="4"/>
  <c r="L557" i="4"/>
  <c r="O557" i="4" s="1"/>
  <c r="M536" i="4"/>
  <c r="M534" i="4" s="1"/>
  <c r="P534" i="4" s="1"/>
  <c r="P416" i="4"/>
  <c r="N322" i="4"/>
  <c r="N320" i="4" s="1"/>
  <c r="S282" i="4"/>
  <c r="S266" i="4"/>
  <c r="K221" i="4"/>
  <c r="L203" i="4"/>
  <c r="O203" i="4" s="1"/>
  <c r="K108" i="4"/>
  <c r="I83" i="4"/>
  <c r="I71" i="4" s="1"/>
  <c r="K71" i="4" s="1"/>
  <c r="R74" i="4"/>
  <c r="U74" i="4" s="1"/>
  <c r="L74" i="4"/>
  <c r="O74" i="4" s="1"/>
  <c r="N760" i="4"/>
  <c r="U731" i="4"/>
  <c r="L728" i="4"/>
  <c r="O728" i="4" s="1"/>
  <c r="M714" i="4"/>
  <c r="P714" i="4" s="1"/>
  <c r="Q692" i="4"/>
  <c r="Q690" i="4" s="1"/>
  <c r="N690" i="4"/>
  <c r="S555" i="4"/>
  <c r="L536" i="4"/>
  <c r="L534" i="4" s="1"/>
  <c r="O534" i="4" s="1"/>
  <c r="L515" i="4"/>
  <c r="O515" i="4" s="1"/>
  <c r="S513" i="4"/>
  <c r="K433" i="4"/>
  <c r="K424" i="4"/>
  <c r="S392" i="4"/>
  <c r="M322" i="4"/>
  <c r="P322" i="4" s="1"/>
  <c r="K265" i="4"/>
  <c r="T271" i="4"/>
  <c r="Q74" i="4"/>
  <c r="T74" i="4" s="1"/>
  <c r="L75" i="4"/>
  <c r="O75" i="4" s="1"/>
  <c r="L46" i="4"/>
  <c r="L44" i="4" s="1"/>
  <c r="R760" i="4"/>
  <c r="Q728" i="4"/>
  <c r="U692" i="4"/>
  <c r="R690" i="4"/>
  <c r="K183" i="1"/>
  <c r="K198" i="1"/>
  <c r="U500" i="1"/>
  <c r="P274" i="2"/>
  <c r="T733" i="3"/>
  <c r="M540" i="3"/>
  <c r="P540" i="3" s="1"/>
  <c r="L326" i="3"/>
  <c r="O326" i="3" s="1"/>
  <c r="M272" i="3"/>
  <c r="P272" i="3" s="1"/>
  <c r="M175" i="3"/>
  <c r="P175" i="3" s="1"/>
  <c r="S762" i="4"/>
  <c r="U762" i="4" s="1"/>
  <c r="U733" i="4"/>
  <c r="R730" i="4"/>
  <c r="P729" i="4"/>
  <c r="P715" i="4"/>
  <c r="R644" i="4"/>
  <c r="U644" i="4" s="1"/>
  <c r="R616" i="4"/>
  <c r="U617" i="4"/>
  <c r="P600" i="4"/>
  <c r="L578" i="4"/>
  <c r="P577" i="4"/>
  <c r="O563" i="4"/>
  <c r="O556" i="4"/>
  <c r="O542" i="4"/>
  <c r="J503" i="4"/>
  <c r="J492" i="4" s="1"/>
  <c r="O418" i="4"/>
  <c r="N415" i="4"/>
  <c r="N413" i="4" s="1"/>
  <c r="U393" i="4"/>
  <c r="I374" i="4"/>
  <c r="K386" i="4"/>
  <c r="O383" i="4"/>
  <c r="Q356" i="4"/>
  <c r="T356" i="4" s="1"/>
  <c r="P341" i="4"/>
  <c r="M306" i="4"/>
  <c r="P306" i="4" s="1"/>
  <c r="O274" i="4"/>
  <c r="L272" i="4"/>
  <c r="O272" i="4" s="1"/>
  <c r="U271" i="4"/>
  <c r="R269" i="4"/>
  <c r="R268" i="4"/>
  <c r="K89" i="1"/>
  <c r="O196" i="1"/>
  <c r="J702" i="1"/>
  <c r="K630" i="3"/>
  <c r="M601" i="3"/>
  <c r="M599" i="3" s="1"/>
  <c r="P599" i="3" s="1"/>
  <c r="O584" i="3"/>
  <c r="M582" i="3"/>
  <c r="P582" i="3" s="1"/>
  <c r="L519" i="3"/>
  <c r="O519" i="3" s="1"/>
  <c r="M499" i="3"/>
  <c r="P499" i="3" s="1"/>
  <c r="S496" i="3"/>
  <c r="P380" i="3"/>
  <c r="K314" i="3"/>
  <c r="O274" i="3"/>
  <c r="S266" i="3"/>
  <c r="L222" i="3"/>
  <c r="O222" i="3" s="1"/>
  <c r="I221" i="3"/>
  <c r="K221" i="3" s="1"/>
  <c r="N141" i="3"/>
  <c r="N139" i="3" s="1"/>
  <c r="P80" i="3"/>
  <c r="P62" i="3"/>
  <c r="U765" i="4"/>
  <c r="P761" i="4"/>
  <c r="T733" i="4"/>
  <c r="U729" i="4"/>
  <c r="O729" i="4"/>
  <c r="U715" i="4"/>
  <c r="O715" i="4"/>
  <c r="U647" i="4"/>
  <c r="Q644" i="4"/>
  <c r="T644" i="4" s="1"/>
  <c r="U621" i="4"/>
  <c r="R619" i="4"/>
  <c r="Q605" i="4"/>
  <c r="T605" i="4" s="1"/>
  <c r="P560" i="4"/>
  <c r="M558" i="4"/>
  <c r="P558" i="4" s="1"/>
  <c r="R555" i="4"/>
  <c r="U555" i="4" s="1"/>
  <c r="U556" i="4"/>
  <c r="O539" i="4"/>
  <c r="O521" i="4"/>
  <c r="L519" i="4"/>
  <c r="O519" i="4" s="1"/>
  <c r="I492" i="4"/>
  <c r="K492" i="4" s="1"/>
  <c r="K503" i="4"/>
  <c r="L496" i="4"/>
  <c r="O496" i="4" s="1"/>
  <c r="L495" i="4"/>
  <c r="O495" i="4" s="1"/>
  <c r="M415" i="4"/>
  <c r="S333" i="4"/>
  <c r="L268" i="4"/>
  <c r="P380" i="1"/>
  <c r="U620" i="1"/>
  <c r="S617" i="1"/>
  <c r="S616" i="1" s="1"/>
  <c r="P563" i="2"/>
  <c r="K368" i="2"/>
  <c r="K629" i="3"/>
  <c r="L499" i="3"/>
  <c r="O499" i="3" s="1"/>
  <c r="N377" i="3"/>
  <c r="N375" i="3" s="1"/>
  <c r="Q306" i="3"/>
  <c r="T306" i="3" s="1"/>
  <c r="L284" i="3"/>
  <c r="O284" i="3" s="1"/>
  <c r="K249" i="3"/>
  <c r="P191" i="3"/>
  <c r="M141" i="3"/>
  <c r="Q119" i="3"/>
  <c r="R97" i="3"/>
  <c r="O80" i="3"/>
  <c r="P77" i="3"/>
  <c r="T765" i="4"/>
  <c r="U695" i="4"/>
  <c r="L642" i="4"/>
  <c r="O642" i="4" s="1"/>
  <c r="O584" i="4"/>
  <c r="Q576" i="4"/>
  <c r="T576" i="4" s="1"/>
  <c r="L561" i="4"/>
  <c r="O561" i="4" s="1"/>
  <c r="P542" i="4"/>
  <c r="M540" i="4"/>
  <c r="P540" i="4" s="1"/>
  <c r="M519" i="4"/>
  <c r="P519" i="4" s="1"/>
  <c r="M515" i="4"/>
  <c r="P515" i="4" s="1"/>
  <c r="M495" i="4"/>
  <c r="P495" i="4" s="1"/>
  <c r="M362" i="4"/>
  <c r="P362" i="4" s="1"/>
  <c r="P364" i="4"/>
  <c r="M359" i="4"/>
  <c r="P359" i="4" s="1"/>
  <c r="P361" i="4"/>
  <c r="M358" i="4"/>
  <c r="L326" i="4"/>
  <c r="O326" i="4" s="1"/>
  <c r="O328" i="4"/>
  <c r="L323" i="4"/>
  <c r="O323" i="4" s="1"/>
  <c r="O325" i="4"/>
  <c r="N306" i="4"/>
  <c r="N305" i="4"/>
  <c r="N303" i="4" s="1"/>
  <c r="S305" i="4"/>
  <c r="S303" i="4" s="1"/>
  <c r="P287" i="4"/>
  <c r="M285" i="4"/>
  <c r="P285" i="4" s="1"/>
  <c r="O95" i="4"/>
  <c r="N334" i="1"/>
  <c r="K504" i="1"/>
  <c r="T308" i="3"/>
  <c r="L305" i="3"/>
  <c r="L303" i="3" s="1"/>
  <c r="O303" i="3" s="1"/>
  <c r="S496" i="4"/>
  <c r="O494" i="4"/>
  <c r="L362" i="4"/>
  <c r="O362" i="4" s="1"/>
  <c r="L358" i="4"/>
  <c r="K314" i="4"/>
  <c r="M305" i="4"/>
  <c r="T187" i="4"/>
  <c r="O125" i="1"/>
  <c r="Q419" i="1"/>
  <c r="T419" i="1" s="1"/>
  <c r="J460" i="1"/>
  <c r="J468" i="1"/>
  <c r="N763" i="1"/>
  <c r="S730" i="2"/>
  <c r="S728" i="2" s="1"/>
  <c r="I156" i="3"/>
  <c r="K156" i="3" s="1"/>
  <c r="M642" i="4"/>
  <c r="P642" i="4" s="1"/>
  <c r="Q618" i="4"/>
  <c r="T621" i="4"/>
  <c r="M616" i="4"/>
  <c r="P616" i="4" s="1"/>
  <c r="P584" i="4"/>
  <c r="M582" i="4"/>
  <c r="P582" i="4" s="1"/>
  <c r="N578" i="4"/>
  <c r="N576" i="4" s="1"/>
  <c r="R495" i="4"/>
  <c r="U495" i="4" s="1"/>
  <c r="U498" i="4"/>
  <c r="R496" i="4"/>
  <c r="U496" i="4" s="1"/>
  <c r="U494" i="4"/>
  <c r="K440" i="4"/>
  <c r="I423" i="4"/>
  <c r="K425" i="4"/>
  <c r="Q282" i="4"/>
  <c r="T282" i="4" s="1"/>
  <c r="T283" i="4"/>
  <c r="S189" i="4"/>
  <c r="U189" i="4" s="1"/>
  <c r="S188" i="4"/>
  <c r="S186" i="4" s="1"/>
  <c r="T765" i="3"/>
  <c r="R762" i="3"/>
  <c r="R760" i="3" s="1"/>
  <c r="Q731" i="3"/>
  <c r="J674" i="3"/>
  <c r="T498" i="3"/>
  <c r="S493" i="3"/>
  <c r="K440" i="3"/>
  <c r="U306" i="3"/>
  <c r="Q269" i="3"/>
  <c r="P162" i="3"/>
  <c r="O62" i="3"/>
  <c r="L616" i="4"/>
  <c r="O616" i="4" s="1"/>
  <c r="O617" i="4"/>
  <c r="M578" i="4"/>
  <c r="P578" i="4" s="1"/>
  <c r="K504" i="4"/>
  <c r="Q495" i="4"/>
  <c r="T498" i="4"/>
  <c r="Q496" i="4"/>
  <c r="T496" i="4" s="1"/>
  <c r="P418" i="4"/>
  <c r="L378" i="4"/>
  <c r="O378" i="4" s="1"/>
  <c r="L377" i="4"/>
  <c r="O377" i="4" s="1"/>
  <c r="Q378" i="4"/>
  <c r="Q377" i="4"/>
  <c r="K369" i="4"/>
  <c r="U191" i="4"/>
  <c r="Q415" i="4"/>
  <c r="P357" i="4"/>
  <c r="J332" i="4"/>
  <c r="K332" i="4" s="1"/>
  <c r="R320" i="4"/>
  <c r="U320" i="4" s="1"/>
  <c r="U308" i="4"/>
  <c r="Q305" i="4"/>
  <c r="Q303" i="4" s="1"/>
  <c r="T304" i="4"/>
  <c r="O271" i="4"/>
  <c r="L269" i="4"/>
  <c r="O269" i="4" s="1"/>
  <c r="P191" i="4"/>
  <c r="M189" i="4"/>
  <c r="K441" i="4"/>
  <c r="M335" i="4"/>
  <c r="I242" i="4"/>
  <c r="K249" i="4"/>
  <c r="I238" i="4"/>
  <c r="K238" i="4" s="1"/>
  <c r="O178" i="4"/>
  <c r="L176" i="4"/>
  <c r="O176" i="4" s="1"/>
  <c r="P25" i="4"/>
  <c r="Q26" i="4"/>
  <c r="L254" i="4"/>
  <c r="O254" i="4" s="1"/>
  <c r="L234" i="4"/>
  <c r="P194" i="4"/>
  <c r="M192" i="4"/>
  <c r="P192" i="4" s="1"/>
  <c r="T191" i="4"/>
  <c r="N160" i="4"/>
  <c r="N159" i="4"/>
  <c r="N157" i="4" s="1"/>
  <c r="P52" i="4"/>
  <c r="M26" i="4"/>
  <c r="P26" i="4" s="1"/>
  <c r="M50" i="4"/>
  <c r="P50" i="4" s="1"/>
  <c r="S19" i="4"/>
  <c r="R415" i="4"/>
  <c r="L415" i="4"/>
  <c r="R305" i="4"/>
  <c r="L305" i="4"/>
  <c r="O305" i="4" s="1"/>
  <c r="N285" i="4"/>
  <c r="L284" i="4"/>
  <c r="O284" i="4" s="1"/>
  <c r="M272" i="4"/>
  <c r="P272" i="4" s="1"/>
  <c r="S269" i="4"/>
  <c r="T269" i="4" s="1"/>
  <c r="M269" i="4"/>
  <c r="P269" i="4" s="1"/>
  <c r="Q268" i="4"/>
  <c r="T268" i="4" s="1"/>
  <c r="N189" i="4"/>
  <c r="R188" i="4"/>
  <c r="L188" i="4"/>
  <c r="O174" i="4"/>
  <c r="U95" i="4"/>
  <c r="P67" i="4"/>
  <c r="M65" i="4"/>
  <c r="P65" i="4" s="1"/>
  <c r="P62" i="4"/>
  <c r="U283" i="4"/>
  <c r="O283" i="4"/>
  <c r="P271" i="4"/>
  <c r="T267" i="4"/>
  <c r="Q188" i="4"/>
  <c r="U178" i="4"/>
  <c r="R176" i="4"/>
  <c r="U176" i="4" s="1"/>
  <c r="U174" i="4"/>
  <c r="K172" i="4"/>
  <c r="Q176" i="4"/>
  <c r="T176" i="4" s="1"/>
  <c r="Q175" i="4"/>
  <c r="T175" i="4" s="1"/>
  <c r="O165" i="4"/>
  <c r="L163" i="4"/>
  <c r="O163" i="4" s="1"/>
  <c r="O118" i="4"/>
  <c r="P47" i="4"/>
  <c r="K276" i="4"/>
  <c r="Q192" i="4"/>
  <c r="T192" i="4" s="1"/>
  <c r="Q189" i="4"/>
  <c r="N179" i="4"/>
  <c r="R175" i="4"/>
  <c r="U175" i="4" s="1"/>
  <c r="O158" i="4"/>
  <c r="U118" i="4"/>
  <c r="N96" i="4"/>
  <c r="N94" i="4" s="1"/>
  <c r="P22" i="4"/>
  <c r="M19" i="4"/>
  <c r="P178" i="4"/>
  <c r="M176" i="4"/>
  <c r="P176" i="4" s="1"/>
  <c r="M175" i="4"/>
  <c r="U158" i="4"/>
  <c r="P140" i="4"/>
  <c r="R26" i="4"/>
  <c r="R24" i="4" s="1"/>
  <c r="N26" i="4"/>
  <c r="N24" i="4" s="1"/>
  <c r="S159" i="4"/>
  <c r="S157" i="4" s="1"/>
  <c r="M159" i="4"/>
  <c r="T147" i="4"/>
  <c r="T144" i="4"/>
  <c r="N141" i="4"/>
  <c r="N139" i="4" s="1"/>
  <c r="S119" i="4"/>
  <c r="S117" i="4" s="1"/>
  <c r="M119" i="4"/>
  <c r="P119" i="4" s="1"/>
  <c r="I116" i="4"/>
  <c r="K116" i="4" s="1"/>
  <c r="S96" i="4"/>
  <c r="S94" i="4" s="1"/>
  <c r="M96" i="4"/>
  <c r="P96" i="4" s="1"/>
  <c r="Q78" i="4"/>
  <c r="T78" i="4" s="1"/>
  <c r="N50" i="4"/>
  <c r="O49" i="4"/>
  <c r="N23" i="4"/>
  <c r="N21" i="4" s="1"/>
  <c r="R19" i="4"/>
  <c r="L19" i="4"/>
  <c r="R159" i="4"/>
  <c r="U159" i="4" s="1"/>
  <c r="L159" i="4"/>
  <c r="O159" i="4" s="1"/>
  <c r="K154" i="4"/>
  <c r="S141" i="4"/>
  <c r="S139" i="4" s="1"/>
  <c r="M141" i="4"/>
  <c r="R119" i="4"/>
  <c r="L119" i="4"/>
  <c r="O119" i="4" s="1"/>
  <c r="R96" i="4"/>
  <c r="U96" i="4" s="1"/>
  <c r="L96" i="4"/>
  <c r="O96" i="4" s="1"/>
  <c r="N74" i="4"/>
  <c r="N72" i="4" s="1"/>
  <c r="N61" i="4"/>
  <c r="N46" i="4"/>
  <c r="N44" i="4" s="1"/>
  <c r="S26" i="4"/>
  <c r="S24" i="4" s="1"/>
  <c r="S23" i="4"/>
  <c r="S21" i="4" s="1"/>
  <c r="M23" i="4"/>
  <c r="M163" i="4"/>
  <c r="P163" i="4" s="1"/>
  <c r="M160" i="4"/>
  <c r="P160" i="4" s="1"/>
  <c r="Q159" i="4"/>
  <c r="T159" i="4" s="1"/>
  <c r="R141" i="4"/>
  <c r="L141" i="4"/>
  <c r="L139" i="4" s="1"/>
  <c r="M123" i="4"/>
  <c r="P123" i="4" s="1"/>
  <c r="Q119" i="4"/>
  <c r="Q117" i="4" s="1"/>
  <c r="M100" i="4"/>
  <c r="P100" i="4" s="1"/>
  <c r="Q96" i="4"/>
  <c r="T96" i="4" s="1"/>
  <c r="K85" i="4"/>
  <c r="S74" i="4"/>
  <c r="S72" i="4" s="1"/>
  <c r="M74" i="4"/>
  <c r="P74" i="4" s="1"/>
  <c r="L65" i="4"/>
  <c r="O65" i="4" s="1"/>
  <c r="M61" i="4"/>
  <c r="L50" i="4"/>
  <c r="O50" i="4" s="1"/>
  <c r="M46" i="4"/>
  <c r="L26" i="4"/>
  <c r="O26" i="4" s="1"/>
  <c r="R23" i="4"/>
  <c r="R21" i="4" s="1"/>
  <c r="L23" i="4"/>
  <c r="T174" i="4"/>
  <c r="R160" i="4"/>
  <c r="U160" i="4" s="1"/>
  <c r="L160" i="4"/>
  <c r="O160" i="4" s="1"/>
  <c r="T158" i="4"/>
  <c r="M145" i="4"/>
  <c r="P145" i="4" s="1"/>
  <c r="M142" i="4"/>
  <c r="P142" i="4" s="1"/>
  <c r="U140" i="4"/>
  <c r="O140" i="4"/>
  <c r="R123" i="4"/>
  <c r="U123" i="4" s="1"/>
  <c r="L123" i="4"/>
  <c r="O123" i="4" s="1"/>
  <c r="R120" i="4"/>
  <c r="U120" i="4" s="1"/>
  <c r="L120" i="4"/>
  <c r="O120" i="4" s="1"/>
  <c r="T118" i="4"/>
  <c r="L100" i="4"/>
  <c r="O100" i="4" s="1"/>
  <c r="R97" i="4"/>
  <c r="U97" i="4" s="1"/>
  <c r="L97" i="4"/>
  <c r="O97" i="4" s="1"/>
  <c r="P73" i="4"/>
  <c r="P60" i="4"/>
  <c r="P45" i="4"/>
  <c r="U25" i="4"/>
  <c r="O25" i="4"/>
  <c r="Q23" i="4"/>
  <c r="U22" i="4"/>
  <c r="O22" i="4"/>
  <c r="Q357" i="1"/>
  <c r="T357" i="1" s="1"/>
  <c r="M495" i="1"/>
  <c r="K586" i="1"/>
  <c r="M326" i="2"/>
  <c r="P326" i="2" s="1"/>
  <c r="L306" i="2"/>
  <c r="O306" i="2" s="1"/>
  <c r="L235" i="2"/>
  <c r="O162" i="2"/>
  <c r="M78" i="2"/>
  <c r="P78" i="2" s="1"/>
  <c r="P80" i="2"/>
  <c r="S644" i="3"/>
  <c r="S642" i="3" s="1"/>
  <c r="S645" i="3"/>
  <c r="K615" i="3"/>
  <c r="Q576" i="3"/>
  <c r="T576" i="3" s="1"/>
  <c r="M519" i="3"/>
  <c r="P519" i="3" s="1"/>
  <c r="M515" i="3"/>
  <c r="P515" i="3" s="1"/>
  <c r="O364" i="3"/>
  <c r="L362" i="3"/>
  <c r="O362" i="3" s="1"/>
  <c r="M339" i="3"/>
  <c r="P339" i="3" s="1"/>
  <c r="P341" i="3"/>
  <c r="T203" i="3"/>
  <c r="O191" i="3"/>
  <c r="L189" i="3"/>
  <c r="O189" i="3" s="1"/>
  <c r="P125" i="3"/>
  <c r="M123" i="3"/>
  <c r="P123" i="3" s="1"/>
  <c r="N285" i="1"/>
  <c r="O341" i="1"/>
  <c r="M415" i="1"/>
  <c r="M419" i="1"/>
  <c r="P419" i="1" s="1"/>
  <c r="J447" i="1"/>
  <c r="J441" i="1" s="1"/>
  <c r="K441" i="1" s="1"/>
  <c r="S494" i="1"/>
  <c r="P497" i="1"/>
  <c r="U647" i="1"/>
  <c r="Q378" i="2"/>
  <c r="K371" i="2"/>
  <c r="M362" i="2"/>
  <c r="P362" i="2" s="1"/>
  <c r="L309" i="2"/>
  <c r="O309" i="2" s="1"/>
  <c r="S269" i="2"/>
  <c r="M123" i="2"/>
  <c r="P123" i="2" s="1"/>
  <c r="P125" i="2"/>
  <c r="N601" i="3"/>
  <c r="N599" i="3" s="1"/>
  <c r="N602" i="3"/>
  <c r="Q555" i="3"/>
  <c r="T555" i="3" s="1"/>
  <c r="T556" i="3"/>
  <c r="M306" i="3"/>
  <c r="P306" i="3" s="1"/>
  <c r="P308" i="3"/>
  <c r="T284" i="3"/>
  <c r="Q282" i="3"/>
  <c r="T282" i="3" s="1"/>
  <c r="O160" i="3"/>
  <c r="Q19" i="3"/>
  <c r="T19" i="3" s="1"/>
  <c r="T22" i="3"/>
  <c r="S357" i="1"/>
  <c r="N495" i="1"/>
  <c r="O495" i="1" s="1"/>
  <c r="N514" i="1"/>
  <c r="N513" i="1" s="1"/>
  <c r="K587" i="1"/>
  <c r="Q716" i="1"/>
  <c r="T716" i="1" s="1"/>
  <c r="L601" i="2"/>
  <c r="O601" i="2" s="1"/>
  <c r="M381" i="2"/>
  <c r="P381" i="2" s="1"/>
  <c r="J343" i="2"/>
  <c r="O274" i="2"/>
  <c r="T271" i="2"/>
  <c r="Q269" i="2"/>
  <c r="M179" i="2"/>
  <c r="P179" i="2" s="1"/>
  <c r="S160" i="2"/>
  <c r="I116" i="2"/>
  <c r="K116" i="2" s="1"/>
  <c r="K127" i="2"/>
  <c r="M642" i="3"/>
  <c r="P642" i="3" s="1"/>
  <c r="P643" i="3"/>
  <c r="J492" i="3"/>
  <c r="K492" i="3" s="1"/>
  <c r="K503" i="3"/>
  <c r="J365" i="3"/>
  <c r="K365" i="3" s="1"/>
  <c r="K371" i="3"/>
  <c r="R269" i="3"/>
  <c r="U271" i="3"/>
  <c r="N648" i="1"/>
  <c r="M47" i="3"/>
  <c r="P47" i="3" s="1"/>
  <c r="P49" i="3"/>
  <c r="O77" i="1"/>
  <c r="O99" i="1"/>
  <c r="R100" i="1"/>
  <c r="U100" i="1" s="1"/>
  <c r="L140" i="1"/>
  <c r="O140" i="1" s="1"/>
  <c r="T178" i="1"/>
  <c r="L269" i="1"/>
  <c r="S495" i="1"/>
  <c r="U495" i="1" s="1"/>
  <c r="L760" i="3"/>
  <c r="O760" i="3" s="1"/>
  <c r="O761" i="3"/>
  <c r="I689" i="3"/>
  <c r="K689" i="3" s="1"/>
  <c r="K707" i="3"/>
  <c r="J675" i="3"/>
  <c r="M557" i="3"/>
  <c r="P557" i="3" s="1"/>
  <c r="M558" i="3"/>
  <c r="P558" i="3" s="1"/>
  <c r="P560" i="3"/>
  <c r="L516" i="3"/>
  <c r="O516" i="3" s="1"/>
  <c r="O518" i="3"/>
  <c r="R44" i="3"/>
  <c r="U44" i="3" s="1"/>
  <c r="N358" i="1"/>
  <c r="P358" i="1" s="1"/>
  <c r="S392" i="3"/>
  <c r="P118" i="3"/>
  <c r="M96" i="1"/>
  <c r="P96" i="1" s="1"/>
  <c r="K114" i="1"/>
  <c r="M140" i="1"/>
  <c r="P140" i="1" s="1"/>
  <c r="T147" i="1"/>
  <c r="L175" i="1"/>
  <c r="S284" i="1"/>
  <c r="K709" i="1"/>
  <c r="K744" i="1"/>
  <c r="K229" i="2"/>
  <c r="M192" i="2"/>
  <c r="P192" i="2" s="1"/>
  <c r="N188" i="2"/>
  <c r="N186" i="2" s="1"/>
  <c r="M47" i="2"/>
  <c r="P47" i="2" s="1"/>
  <c r="P49" i="2"/>
  <c r="S714" i="3"/>
  <c r="M495" i="3"/>
  <c r="P498" i="3"/>
  <c r="M496" i="3"/>
  <c r="P496" i="3" s="1"/>
  <c r="R375" i="3"/>
  <c r="T214" i="3"/>
  <c r="M192" i="3"/>
  <c r="P192" i="3" s="1"/>
  <c r="P194" i="3"/>
  <c r="R176" i="3"/>
  <c r="U176" i="3" s="1"/>
  <c r="R175" i="3"/>
  <c r="U175" i="3" s="1"/>
  <c r="U178" i="3"/>
  <c r="T162" i="3"/>
  <c r="Q159" i="3"/>
  <c r="Q157" i="3" s="1"/>
  <c r="T157" i="3" s="1"/>
  <c r="N119" i="3"/>
  <c r="N117" i="3" s="1"/>
  <c r="N120" i="3"/>
  <c r="L50" i="2"/>
  <c r="O50" i="2" s="1"/>
  <c r="U765" i="3"/>
  <c r="U733" i="3"/>
  <c r="K726" i="3"/>
  <c r="S693" i="3"/>
  <c r="U693" i="3" s="1"/>
  <c r="K631" i="3"/>
  <c r="K626" i="3"/>
  <c r="Q513" i="3"/>
  <c r="T513" i="3" s="1"/>
  <c r="O498" i="3"/>
  <c r="Q496" i="3"/>
  <c r="U415" i="3"/>
  <c r="O380" i="3"/>
  <c r="K344" i="3"/>
  <c r="N335" i="3"/>
  <c r="N333" i="3" s="1"/>
  <c r="N336" i="3"/>
  <c r="I332" i="3"/>
  <c r="Q268" i="3"/>
  <c r="Q266" i="3" s="1"/>
  <c r="N232" i="3"/>
  <c r="R192" i="3"/>
  <c r="U192" i="3" s="1"/>
  <c r="U191" i="3"/>
  <c r="O162" i="3"/>
  <c r="N142" i="3"/>
  <c r="M119" i="3"/>
  <c r="P119" i="3" s="1"/>
  <c r="S120" i="3"/>
  <c r="M96" i="3"/>
  <c r="K86" i="3"/>
  <c r="N61" i="3"/>
  <c r="N59" i="3" s="1"/>
  <c r="S59" i="3"/>
  <c r="L46" i="3"/>
  <c r="L44" i="3" s="1"/>
  <c r="N19" i="3"/>
  <c r="M760" i="3"/>
  <c r="P760" i="3" s="1"/>
  <c r="L605" i="3"/>
  <c r="O605" i="3" s="1"/>
  <c r="S601" i="3"/>
  <c r="S599" i="3" s="1"/>
  <c r="U380" i="3"/>
  <c r="O378" i="3"/>
  <c r="R305" i="3"/>
  <c r="R303" i="3" s="1"/>
  <c r="O271" i="3"/>
  <c r="Q188" i="3"/>
  <c r="Q186" i="3" s="1"/>
  <c r="R188" i="3"/>
  <c r="R186" i="3" s="1"/>
  <c r="L97" i="3"/>
  <c r="U77" i="3"/>
  <c r="N74" i="3"/>
  <c r="N72" i="3" s="1"/>
  <c r="R59" i="3"/>
  <c r="U59" i="3" s="1"/>
  <c r="K632" i="3"/>
  <c r="N579" i="3"/>
  <c r="O579" i="3" s="1"/>
  <c r="N536" i="3"/>
  <c r="N534" i="3" s="1"/>
  <c r="N537" i="3"/>
  <c r="M392" i="3"/>
  <c r="P392" i="3" s="1"/>
  <c r="M377" i="3"/>
  <c r="S378" i="3"/>
  <c r="S763" i="3"/>
  <c r="U763" i="3" s="1"/>
  <c r="M578" i="3"/>
  <c r="M576" i="3" s="1"/>
  <c r="S576" i="3"/>
  <c r="O560" i="3"/>
  <c r="S555" i="3"/>
  <c r="T514" i="3"/>
  <c r="L496" i="3"/>
  <c r="O496" i="3" s="1"/>
  <c r="P418" i="3"/>
  <c r="L377" i="3"/>
  <c r="R378" i="3"/>
  <c r="L358" i="3"/>
  <c r="P311" i="3"/>
  <c r="N284" i="3"/>
  <c r="N282" i="3" s="1"/>
  <c r="K276" i="3"/>
  <c r="M268" i="3"/>
  <c r="M266" i="3" s="1"/>
  <c r="S269" i="3"/>
  <c r="L234" i="3"/>
  <c r="L192" i="3"/>
  <c r="O192" i="3" s="1"/>
  <c r="N188" i="3"/>
  <c r="N186" i="3" s="1"/>
  <c r="Q141" i="3"/>
  <c r="I138" i="3"/>
  <c r="K138" i="3" s="1"/>
  <c r="K92" i="3"/>
  <c r="U96" i="3"/>
  <c r="S94" i="3"/>
  <c r="I83" i="3"/>
  <c r="I71" i="3" s="1"/>
  <c r="K71" i="3" s="1"/>
  <c r="R74" i="3"/>
  <c r="R72" i="3" s="1"/>
  <c r="L74" i="3"/>
  <c r="L72" i="3" s="1"/>
  <c r="O49" i="3"/>
  <c r="L47" i="3"/>
  <c r="O47" i="3" s="1"/>
  <c r="S762" i="3"/>
  <c r="S760" i="3" s="1"/>
  <c r="L728" i="3"/>
  <c r="O728" i="3" s="1"/>
  <c r="K727" i="3"/>
  <c r="M714" i="3"/>
  <c r="P714" i="3" s="1"/>
  <c r="U647" i="3"/>
  <c r="T619" i="3"/>
  <c r="S618" i="3"/>
  <c r="S616" i="3" s="1"/>
  <c r="Q601" i="3"/>
  <c r="T601" i="3" s="1"/>
  <c r="N557" i="3"/>
  <c r="N555" i="3" s="1"/>
  <c r="N495" i="3"/>
  <c r="N493" i="3" s="1"/>
  <c r="Q495" i="3"/>
  <c r="T495" i="3" s="1"/>
  <c r="J457" i="3"/>
  <c r="J456" i="3" s="1"/>
  <c r="K456" i="3" s="1"/>
  <c r="M419" i="3"/>
  <c r="P419" i="3" s="1"/>
  <c r="Q378" i="3"/>
  <c r="S375" i="3"/>
  <c r="P328" i="3"/>
  <c r="L322" i="3"/>
  <c r="L320" i="3" s="1"/>
  <c r="S320" i="3"/>
  <c r="I319" i="3"/>
  <c r="K319" i="3" s="1"/>
  <c r="O311" i="3"/>
  <c r="N305" i="3"/>
  <c r="N303" i="3" s="1"/>
  <c r="O269" i="3"/>
  <c r="L254" i="3"/>
  <c r="O254" i="3" s="1"/>
  <c r="L203" i="3"/>
  <c r="O203" i="3" s="1"/>
  <c r="T191" i="3"/>
  <c r="Q189" i="3"/>
  <c r="T189" i="3" s="1"/>
  <c r="I93" i="3"/>
  <c r="K93" i="3" s="1"/>
  <c r="Q74" i="3"/>
  <c r="Q72" i="3" s="1"/>
  <c r="N75" i="3"/>
  <c r="O75" i="3" s="1"/>
  <c r="P64" i="3"/>
  <c r="N46" i="3"/>
  <c r="N44" i="3" s="1"/>
  <c r="S44" i="3"/>
  <c r="O501" i="2"/>
  <c r="O364" i="2"/>
  <c r="L362" i="2"/>
  <c r="O362" i="2" s="1"/>
  <c r="I319" i="2"/>
  <c r="K319" i="2" s="1"/>
  <c r="K330" i="2"/>
  <c r="I758" i="3"/>
  <c r="K758" i="3" s="1"/>
  <c r="K772" i="3"/>
  <c r="J195" i="1"/>
  <c r="K195" i="1" s="1"/>
  <c r="N269" i="1"/>
  <c r="T583" i="1"/>
  <c r="Q582" i="1"/>
  <c r="T582" i="1" s="1"/>
  <c r="S763" i="2"/>
  <c r="U763" i="2" s="1"/>
  <c r="S762" i="2"/>
  <c r="T762" i="2" s="1"/>
  <c r="S188" i="2"/>
  <c r="S186" i="2" s="1"/>
  <c r="S189" i="2"/>
  <c r="U189" i="2" s="1"/>
  <c r="M728" i="3"/>
  <c r="P728" i="3" s="1"/>
  <c r="P729" i="3"/>
  <c r="U64" i="1"/>
  <c r="R61" i="1"/>
  <c r="U61" i="1" s="1"/>
  <c r="K220" i="1"/>
  <c r="I213" i="1"/>
  <c r="K213" i="1" s="1"/>
  <c r="K128" i="1"/>
  <c r="J351" i="1"/>
  <c r="L540" i="1"/>
  <c r="O540" i="1" s="1"/>
  <c r="R731" i="2"/>
  <c r="U731" i="2" s="1"/>
  <c r="R730" i="2"/>
  <c r="U733" i="2"/>
  <c r="I172" i="2"/>
  <c r="K172" i="2" s="1"/>
  <c r="K183" i="2"/>
  <c r="N65" i="2"/>
  <c r="O65" i="2" s="1"/>
  <c r="O67" i="2"/>
  <c r="L46" i="2"/>
  <c r="L44" i="2" s="1"/>
  <c r="L47" i="2"/>
  <c r="O47" i="2" s="1"/>
  <c r="O730" i="3"/>
  <c r="S728" i="3"/>
  <c r="T728" i="3" s="1"/>
  <c r="U691" i="3"/>
  <c r="O733" i="1"/>
  <c r="L730" i="1"/>
  <c r="O730" i="1" s="1"/>
  <c r="K292" i="1"/>
  <c r="I281" i="1"/>
  <c r="K281" i="1" s="1"/>
  <c r="O287" i="2"/>
  <c r="L285" i="2"/>
  <c r="O285" i="2" s="1"/>
  <c r="S96" i="2"/>
  <c r="S94" i="2" s="1"/>
  <c r="S97" i="2"/>
  <c r="I689" i="2"/>
  <c r="K689" i="2" s="1"/>
  <c r="K707" i="2"/>
  <c r="K220" i="2"/>
  <c r="I213" i="2"/>
  <c r="K213" i="2" s="1"/>
  <c r="S414" i="1"/>
  <c r="R644" i="2"/>
  <c r="U644" i="2" s="1"/>
  <c r="R645" i="2"/>
  <c r="U645" i="2" s="1"/>
  <c r="K626" i="2"/>
  <c r="K631" i="2"/>
  <c r="Q618" i="2"/>
  <c r="Q616" i="2" s="1"/>
  <c r="Q619" i="2"/>
  <c r="Q763" i="3"/>
  <c r="Q762" i="3"/>
  <c r="L642" i="3"/>
  <c r="O642" i="3" s="1"/>
  <c r="O643" i="3"/>
  <c r="K423" i="3"/>
  <c r="I412" i="3"/>
  <c r="K412" i="3" s="1"/>
  <c r="U96" i="1"/>
  <c r="S94" i="1"/>
  <c r="P99" i="1"/>
  <c r="U125" i="1"/>
  <c r="N176" i="1"/>
  <c r="O176" i="1" s="1"/>
  <c r="K219" i="1"/>
  <c r="L285" i="1"/>
  <c r="R288" i="1"/>
  <c r="U288" i="1" s="1"/>
  <c r="K295" i="1"/>
  <c r="S334" i="1"/>
  <c r="J446" i="1"/>
  <c r="J440" i="1" s="1"/>
  <c r="J674" i="1"/>
  <c r="Q763" i="2"/>
  <c r="K709" i="2"/>
  <c r="J674" i="2"/>
  <c r="S619" i="2"/>
  <c r="S601" i="2"/>
  <c r="S599" i="2" s="1"/>
  <c r="M537" i="2"/>
  <c r="P537" i="2" s="1"/>
  <c r="M499" i="2"/>
  <c r="P499" i="2" s="1"/>
  <c r="S392" i="2"/>
  <c r="O380" i="2"/>
  <c r="O181" i="2"/>
  <c r="R159" i="2"/>
  <c r="U159" i="2" s="1"/>
  <c r="K152" i="2"/>
  <c r="Q714" i="3"/>
  <c r="T714" i="3" s="1"/>
  <c r="R644" i="3"/>
  <c r="U644" i="3" s="1"/>
  <c r="U643" i="3"/>
  <c r="N616" i="3"/>
  <c r="P604" i="3"/>
  <c r="L601" i="3"/>
  <c r="L578" i="3"/>
  <c r="U557" i="3"/>
  <c r="P518" i="3"/>
  <c r="M415" i="3"/>
  <c r="Q333" i="3"/>
  <c r="T333" i="3" s="1"/>
  <c r="O122" i="3"/>
  <c r="L120" i="3"/>
  <c r="O120" i="3" s="1"/>
  <c r="L119" i="3"/>
  <c r="O119" i="3" s="1"/>
  <c r="N100" i="3"/>
  <c r="N26" i="3"/>
  <c r="N24" i="3" s="1"/>
  <c r="Q644" i="3"/>
  <c r="T647" i="3"/>
  <c r="R605" i="3"/>
  <c r="U605" i="3" s="1"/>
  <c r="O563" i="3"/>
  <c r="L557" i="3"/>
  <c r="P556" i="3"/>
  <c r="O539" i="3"/>
  <c r="U418" i="3"/>
  <c r="R416" i="3"/>
  <c r="Q395" i="3"/>
  <c r="T395" i="3" s="1"/>
  <c r="Q394" i="3"/>
  <c r="T394" i="3" s="1"/>
  <c r="L61" i="1"/>
  <c r="L59" i="1" s="1"/>
  <c r="L119" i="1"/>
  <c r="O119" i="1" s="1"/>
  <c r="S119" i="1"/>
  <c r="L158" i="1"/>
  <c r="O158" i="1" s="1"/>
  <c r="R188" i="1"/>
  <c r="K265" i="1"/>
  <c r="P308" i="1"/>
  <c r="O325" i="1"/>
  <c r="L321" i="1"/>
  <c r="O321" i="1" s="1"/>
  <c r="S358" i="1"/>
  <c r="K575" i="1"/>
  <c r="S578" i="1"/>
  <c r="S716" i="1"/>
  <c r="M495" i="2"/>
  <c r="M493" i="2" s="1"/>
  <c r="M496" i="2"/>
  <c r="T397" i="2"/>
  <c r="P311" i="2"/>
  <c r="Q188" i="2"/>
  <c r="Q186" i="2" s="1"/>
  <c r="T122" i="2"/>
  <c r="P102" i="2"/>
  <c r="L74" i="2"/>
  <c r="O74" i="2" s="1"/>
  <c r="L714" i="3"/>
  <c r="O714" i="3" s="1"/>
  <c r="I701" i="3"/>
  <c r="U695" i="3"/>
  <c r="M616" i="3"/>
  <c r="P616" i="3" s="1"/>
  <c r="P617" i="3"/>
  <c r="P607" i="3"/>
  <c r="L602" i="3"/>
  <c r="O602" i="3" s="1"/>
  <c r="O577" i="3"/>
  <c r="O542" i="3"/>
  <c r="L536" i="3"/>
  <c r="N415" i="3"/>
  <c r="N413" i="3" s="1"/>
  <c r="P361" i="3"/>
  <c r="M359" i="3"/>
  <c r="M358" i="3"/>
  <c r="R356" i="3"/>
  <c r="U356" i="3" s="1"/>
  <c r="U357" i="3"/>
  <c r="J332" i="3"/>
  <c r="P338" i="3"/>
  <c r="M335" i="3"/>
  <c r="M333" i="3" s="1"/>
  <c r="M336" i="3"/>
  <c r="U284" i="3"/>
  <c r="R282" i="3"/>
  <c r="U282" i="3" s="1"/>
  <c r="K93" i="1"/>
  <c r="M119" i="1"/>
  <c r="P119" i="1" s="1"/>
  <c r="K153" i="1"/>
  <c r="Q176" i="1"/>
  <c r="S192" i="1"/>
  <c r="K228" i="1"/>
  <c r="Q268" i="1"/>
  <c r="T268" i="1" s="1"/>
  <c r="Q306" i="1"/>
  <c r="N357" i="1"/>
  <c r="T380" i="1"/>
  <c r="N376" i="1"/>
  <c r="P521" i="1"/>
  <c r="R577" i="1"/>
  <c r="U577" i="1" s="1"/>
  <c r="K785" i="2"/>
  <c r="K779" i="2"/>
  <c r="K727" i="2"/>
  <c r="K440" i="2"/>
  <c r="J351" i="2"/>
  <c r="K346" i="2"/>
  <c r="M305" i="2"/>
  <c r="P305" i="2" s="1"/>
  <c r="R306" i="2"/>
  <c r="U306" i="2" s="1"/>
  <c r="T730" i="3"/>
  <c r="R714" i="3"/>
  <c r="U714" i="3" s="1"/>
  <c r="J701" i="3"/>
  <c r="M690" i="3"/>
  <c r="P690" i="3" s="1"/>
  <c r="Q645" i="3"/>
  <c r="T645" i="3" s="1"/>
  <c r="Q618" i="3"/>
  <c r="T621" i="3"/>
  <c r="R601" i="3"/>
  <c r="R534" i="3"/>
  <c r="U534" i="3" s="1"/>
  <c r="R493" i="3"/>
  <c r="U495" i="3"/>
  <c r="N323" i="3"/>
  <c r="O323" i="3" s="1"/>
  <c r="N322" i="3"/>
  <c r="N320" i="3" s="1"/>
  <c r="I253" i="3"/>
  <c r="K260" i="3"/>
  <c r="I238" i="3"/>
  <c r="K238" i="3" s="1"/>
  <c r="R618" i="3"/>
  <c r="U621" i="3"/>
  <c r="T600" i="3"/>
  <c r="O581" i="3"/>
  <c r="R576" i="3"/>
  <c r="U576" i="3" s="1"/>
  <c r="U577" i="3"/>
  <c r="P514" i="3"/>
  <c r="T377" i="3"/>
  <c r="Q375" i="3"/>
  <c r="Q74" i="1"/>
  <c r="S26" i="1"/>
  <c r="O122" i="1"/>
  <c r="R141" i="1"/>
  <c r="U141" i="1" s="1"/>
  <c r="K151" i="1"/>
  <c r="K154" i="1"/>
  <c r="P162" i="1"/>
  <c r="K221" i="1"/>
  <c r="U271" i="1"/>
  <c r="S306" i="1"/>
  <c r="R305" i="1"/>
  <c r="N339" i="1"/>
  <c r="P341" i="1"/>
  <c r="M378" i="1"/>
  <c r="P378" i="1" s="1"/>
  <c r="N715" i="1"/>
  <c r="N716" i="1"/>
  <c r="N730" i="1"/>
  <c r="K780" i="1"/>
  <c r="K783" i="1"/>
  <c r="M306" i="2"/>
  <c r="P306" i="2" s="1"/>
  <c r="M175" i="2"/>
  <c r="M173" i="2" s="1"/>
  <c r="Q692" i="3"/>
  <c r="T692" i="3" s="1"/>
  <c r="T695" i="3"/>
  <c r="S690" i="3"/>
  <c r="L690" i="3"/>
  <c r="O690" i="3" s="1"/>
  <c r="O691" i="3"/>
  <c r="R602" i="3"/>
  <c r="U602" i="3" s="1"/>
  <c r="R513" i="3"/>
  <c r="U513" i="3" s="1"/>
  <c r="M416" i="3"/>
  <c r="U321" i="3"/>
  <c r="R320" i="3"/>
  <c r="U320" i="3" s="1"/>
  <c r="Q605" i="3"/>
  <c r="T605" i="3" s="1"/>
  <c r="Q602" i="3"/>
  <c r="T602" i="3" s="1"/>
  <c r="M579" i="3"/>
  <c r="M561" i="3"/>
  <c r="P561" i="3" s="1"/>
  <c r="M537" i="3"/>
  <c r="P537" i="3" s="1"/>
  <c r="U535" i="3"/>
  <c r="L515" i="3"/>
  <c r="O515" i="3" s="1"/>
  <c r="T418" i="3"/>
  <c r="O418" i="3"/>
  <c r="L416" i="3"/>
  <c r="L415" i="3"/>
  <c r="O357" i="3"/>
  <c r="J351" i="3"/>
  <c r="L336" i="3"/>
  <c r="O336" i="3" s="1"/>
  <c r="L335" i="3"/>
  <c r="O338" i="3"/>
  <c r="M323" i="3"/>
  <c r="P325" i="3"/>
  <c r="M322" i="3"/>
  <c r="U125" i="3"/>
  <c r="R123" i="3"/>
  <c r="U123" i="3" s="1"/>
  <c r="O52" i="3"/>
  <c r="L26" i="3"/>
  <c r="L24" i="3" s="1"/>
  <c r="L50" i="3"/>
  <c r="O50" i="3" s="1"/>
  <c r="T604" i="3"/>
  <c r="P581" i="3"/>
  <c r="P539" i="3"/>
  <c r="P521" i="3"/>
  <c r="N515" i="3"/>
  <c r="N513" i="3" s="1"/>
  <c r="U498" i="3"/>
  <c r="S416" i="3"/>
  <c r="T416" i="3" s="1"/>
  <c r="R392" i="3"/>
  <c r="U392" i="3" s="1"/>
  <c r="L392" i="3"/>
  <c r="O392" i="3" s="1"/>
  <c r="S356" i="3"/>
  <c r="L339" i="3"/>
  <c r="O339" i="3" s="1"/>
  <c r="P326" i="3"/>
  <c r="P19" i="3"/>
  <c r="Q415" i="3"/>
  <c r="T415" i="3" s="1"/>
  <c r="R413" i="3"/>
  <c r="U413" i="3" s="1"/>
  <c r="K386" i="3"/>
  <c r="I374" i="3"/>
  <c r="Q356" i="3"/>
  <c r="T356" i="3" s="1"/>
  <c r="T357" i="3"/>
  <c r="P334" i="3"/>
  <c r="Q320" i="3"/>
  <c r="T320" i="3" s="1"/>
  <c r="T321" i="3"/>
  <c r="P283" i="3"/>
  <c r="Q175" i="3"/>
  <c r="T178" i="3"/>
  <c r="Q176" i="3"/>
  <c r="T176" i="3" s="1"/>
  <c r="O147" i="3"/>
  <c r="L145" i="3"/>
  <c r="O145" i="3" s="1"/>
  <c r="L141" i="3"/>
  <c r="S513" i="3"/>
  <c r="R496" i="3"/>
  <c r="O421" i="3"/>
  <c r="L419" i="3"/>
  <c r="O419" i="3" s="1"/>
  <c r="N416" i="3"/>
  <c r="T414" i="3"/>
  <c r="P376" i="3"/>
  <c r="O361" i="3"/>
  <c r="N359" i="3"/>
  <c r="O359" i="3" s="1"/>
  <c r="N176" i="3"/>
  <c r="N175" i="3"/>
  <c r="N173" i="3" s="1"/>
  <c r="T95" i="3"/>
  <c r="T393" i="3"/>
  <c r="T380" i="3"/>
  <c r="P357" i="3"/>
  <c r="R333" i="3"/>
  <c r="U333" i="3" s="1"/>
  <c r="U308" i="3"/>
  <c r="O308" i="3"/>
  <c r="O290" i="3"/>
  <c r="O287" i="3"/>
  <c r="N268" i="3"/>
  <c r="N266" i="3" s="1"/>
  <c r="I213" i="3"/>
  <c r="K213" i="3" s="1"/>
  <c r="K220" i="3"/>
  <c r="L214" i="3"/>
  <c r="O214" i="3" s="1"/>
  <c r="I195" i="3"/>
  <c r="K195" i="3" s="1"/>
  <c r="P189" i="3"/>
  <c r="L163" i="3"/>
  <c r="O163" i="3" s="1"/>
  <c r="O165" i="3"/>
  <c r="K154" i="3"/>
  <c r="I136" i="3"/>
  <c r="K136" i="3" s="1"/>
  <c r="R119" i="3"/>
  <c r="Q26" i="3"/>
  <c r="L285" i="3"/>
  <c r="O285" i="3" s="1"/>
  <c r="J231" i="3"/>
  <c r="J185" i="3" s="1"/>
  <c r="R189" i="3"/>
  <c r="U189" i="3" s="1"/>
  <c r="L188" i="3"/>
  <c r="S173" i="3"/>
  <c r="K167" i="3"/>
  <c r="I169" i="3"/>
  <c r="K169" i="3" s="1"/>
  <c r="T144" i="3"/>
  <c r="S142" i="3"/>
  <c r="T142" i="3" s="1"/>
  <c r="S141" i="3"/>
  <c r="S139" i="3" s="1"/>
  <c r="P25" i="3"/>
  <c r="U22" i="3"/>
  <c r="M288" i="3"/>
  <c r="P288" i="3" s="1"/>
  <c r="P290" i="3"/>
  <c r="I280" i="3"/>
  <c r="K280" i="3" s="1"/>
  <c r="L179" i="3"/>
  <c r="O179" i="3" s="1"/>
  <c r="O181" i="3"/>
  <c r="R160" i="3"/>
  <c r="U160" i="3" s="1"/>
  <c r="U162" i="3"/>
  <c r="R159" i="3"/>
  <c r="U159" i="3" s="1"/>
  <c r="O99" i="3"/>
  <c r="N97" i="3"/>
  <c r="N96" i="3"/>
  <c r="N23" i="3"/>
  <c r="U19" i="3"/>
  <c r="J343" i="3"/>
  <c r="K292" i="3"/>
  <c r="I281" i="3"/>
  <c r="K281" i="3" s="1"/>
  <c r="L243" i="3"/>
  <c r="L233" i="3"/>
  <c r="I172" i="3"/>
  <c r="K172" i="3" s="1"/>
  <c r="K183" i="3"/>
  <c r="O125" i="3"/>
  <c r="L123" i="3"/>
  <c r="O123" i="3" s="1"/>
  <c r="O19" i="3"/>
  <c r="S305" i="3"/>
  <c r="S303" i="3" s="1"/>
  <c r="M305" i="3"/>
  <c r="P305" i="3" s="1"/>
  <c r="M284" i="3"/>
  <c r="P284" i="3" s="1"/>
  <c r="R268" i="3"/>
  <c r="U268" i="3" s="1"/>
  <c r="L268" i="3"/>
  <c r="L266" i="3" s="1"/>
  <c r="S188" i="3"/>
  <c r="M188" i="3"/>
  <c r="S176" i="3"/>
  <c r="L159" i="3"/>
  <c r="O144" i="3"/>
  <c r="L142" i="3"/>
  <c r="T122" i="3"/>
  <c r="Q120" i="3"/>
  <c r="U99" i="3"/>
  <c r="S97" i="3"/>
  <c r="O95" i="3"/>
  <c r="R26" i="3"/>
  <c r="U26" i="3" s="1"/>
  <c r="P73" i="3"/>
  <c r="P52" i="3"/>
  <c r="M26" i="3"/>
  <c r="M50" i="3"/>
  <c r="P50" i="3" s="1"/>
  <c r="P45" i="3"/>
  <c r="U25" i="3"/>
  <c r="S19" i="3"/>
  <c r="O325" i="3"/>
  <c r="P271" i="3"/>
  <c r="O187" i="3"/>
  <c r="M179" i="3"/>
  <c r="P179" i="3" s="1"/>
  <c r="O178" i="3"/>
  <c r="L175" i="3"/>
  <c r="O175" i="3" s="1"/>
  <c r="Q160" i="3"/>
  <c r="T160" i="3" s="1"/>
  <c r="P147" i="3"/>
  <c r="M145" i="3"/>
  <c r="P145" i="3" s="1"/>
  <c r="U144" i="3"/>
  <c r="R142" i="3"/>
  <c r="R94" i="3"/>
  <c r="U95" i="3"/>
  <c r="N159" i="3"/>
  <c r="N157" i="3" s="1"/>
  <c r="T140" i="3"/>
  <c r="T125" i="3"/>
  <c r="Q123" i="3"/>
  <c r="T123" i="3" s="1"/>
  <c r="P102" i="3"/>
  <c r="M100" i="3"/>
  <c r="P100" i="3" s="1"/>
  <c r="P99" i="3"/>
  <c r="M97" i="3"/>
  <c r="U75" i="3"/>
  <c r="P67" i="3"/>
  <c r="M65" i="3"/>
  <c r="P65" i="3" s="1"/>
  <c r="P60" i="3"/>
  <c r="O25" i="3"/>
  <c r="P22" i="3"/>
  <c r="M176" i="3"/>
  <c r="P176" i="3" s="1"/>
  <c r="M160" i="3"/>
  <c r="P160" i="3" s="1"/>
  <c r="M159" i="3"/>
  <c r="U147" i="3"/>
  <c r="R145" i="3"/>
  <c r="U145" i="3" s="1"/>
  <c r="P144" i="3"/>
  <c r="M142" i="3"/>
  <c r="R141" i="3"/>
  <c r="U122" i="3"/>
  <c r="R120" i="3"/>
  <c r="T99" i="3"/>
  <c r="T75" i="3"/>
  <c r="O67" i="3"/>
  <c r="L65" i="3"/>
  <c r="O65" i="3" s="1"/>
  <c r="L61" i="3"/>
  <c r="O22" i="3"/>
  <c r="U140" i="3"/>
  <c r="O140" i="3"/>
  <c r="P122" i="3"/>
  <c r="T118" i="3"/>
  <c r="T80" i="3"/>
  <c r="T77" i="3"/>
  <c r="S26" i="3"/>
  <c r="S24" i="3" s="1"/>
  <c r="S23" i="3"/>
  <c r="S21" i="3" s="1"/>
  <c r="M23" i="3"/>
  <c r="M21" i="3" s="1"/>
  <c r="I137" i="3"/>
  <c r="K137" i="3" s="1"/>
  <c r="Q96" i="3"/>
  <c r="T96" i="3" s="1"/>
  <c r="S74" i="3"/>
  <c r="S72" i="3" s="1"/>
  <c r="M74" i="3"/>
  <c r="M61" i="3"/>
  <c r="M46" i="3"/>
  <c r="R23" i="3"/>
  <c r="R21" i="3" s="1"/>
  <c r="L23" i="3"/>
  <c r="Q23" i="3"/>
  <c r="O47" i="1"/>
  <c r="L95" i="1"/>
  <c r="O95" i="1" s="1"/>
  <c r="S97" i="1"/>
  <c r="Q160" i="1"/>
  <c r="T160" i="1" s="1"/>
  <c r="R175" i="1"/>
  <c r="U175" i="1" s="1"/>
  <c r="K302" i="1"/>
  <c r="L189" i="2"/>
  <c r="O189" i="2" s="1"/>
  <c r="O191" i="2"/>
  <c r="L188" i="2"/>
  <c r="R19" i="2"/>
  <c r="U19" i="2" s="1"/>
  <c r="U22" i="2"/>
  <c r="L25" i="1"/>
  <c r="O25" i="1" s="1"/>
  <c r="M100" i="1"/>
  <c r="P100" i="1" s="1"/>
  <c r="K108" i="1"/>
  <c r="J138" i="1"/>
  <c r="K138" i="1" s="1"/>
  <c r="R158" i="1"/>
  <c r="U158" i="1" s="1"/>
  <c r="I168" i="1"/>
  <c r="Q175" i="1"/>
  <c r="T175" i="1" s="1"/>
  <c r="L188" i="1"/>
  <c r="O188" i="1" s="1"/>
  <c r="M192" i="1"/>
  <c r="P192" i="1" s="1"/>
  <c r="L283" i="1"/>
  <c r="O283" i="1" s="1"/>
  <c r="N288" i="1"/>
  <c r="L288" i="1"/>
  <c r="O288" i="1" s="1"/>
  <c r="M304" i="1"/>
  <c r="P304" i="1" s="1"/>
  <c r="O308" i="1"/>
  <c r="S309" i="1"/>
  <c r="K314" i="1"/>
  <c r="M322" i="1"/>
  <c r="O328" i="1"/>
  <c r="R362" i="1"/>
  <c r="U362" i="1" s="1"/>
  <c r="I374" i="1"/>
  <c r="K374" i="1" s="1"/>
  <c r="K385" i="1"/>
  <c r="N645" i="1"/>
  <c r="N643" i="1"/>
  <c r="I701" i="1"/>
  <c r="K703" i="1"/>
  <c r="Q731" i="1"/>
  <c r="Q729" i="1"/>
  <c r="T729" i="1" s="1"/>
  <c r="T735" i="1"/>
  <c r="L561" i="2"/>
  <c r="O561" i="2" s="1"/>
  <c r="O563" i="2"/>
  <c r="K293" i="2"/>
  <c r="I280" i="2"/>
  <c r="K280" i="2" s="1"/>
  <c r="M159" i="2"/>
  <c r="P159" i="2" s="1"/>
  <c r="M160" i="2"/>
  <c r="P160" i="2" s="1"/>
  <c r="P162" i="2"/>
  <c r="K84" i="2"/>
  <c r="I82" i="2"/>
  <c r="N321" i="1"/>
  <c r="R394" i="1"/>
  <c r="U394" i="1" s="1"/>
  <c r="U397" i="1"/>
  <c r="L561" i="1"/>
  <c r="O561" i="1" s="1"/>
  <c r="L556" i="1"/>
  <c r="O556" i="1" s="1"/>
  <c r="M617" i="1"/>
  <c r="P617" i="1" s="1"/>
  <c r="P620" i="1"/>
  <c r="S60" i="1"/>
  <c r="S61" i="1"/>
  <c r="K84" i="1"/>
  <c r="K90" i="1"/>
  <c r="L96" i="1"/>
  <c r="O96" i="1" s="1"/>
  <c r="O101" i="1"/>
  <c r="S118" i="1"/>
  <c r="R119" i="1"/>
  <c r="N123" i="1"/>
  <c r="O123" i="1" s="1"/>
  <c r="K130" i="1"/>
  <c r="S145" i="1"/>
  <c r="K152" i="1"/>
  <c r="M160" i="1"/>
  <c r="P160" i="1" s="1"/>
  <c r="S188" i="1"/>
  <c r="S186" i="1" s="1"/>
  <c r="Q192" i="1"/>
  <c r="T192" i="1" s="1"/>
  <c r="L267" i="1"/>
  <c r="O267" i="1" s="1"/>
  <c r="M268" i="1"/>
  <c r="P268" i="1" s="1"/>
  <c r="T271" i="1"/>
  <c r="K276" i="1"/>
  <c r="R283" i="1"/>
  <c r="U283" i="1" s="1"/>
  <c r="K296" i="1"/>
  <c r="N306" i="1"/>
  <c r="R309" i="1"/>
  <c r="U309" i="1" s="1"/>
  <c r="R321" i="1"/>
  <c r="U321" i="1" s="1"/>
  <c r="O338" i="1"/>
  <c r="O397" i="1"/>
  <c r="L394" i="1"/>
  <c r="O394" i="1" s="1"/>
  <c r="S415" i="1"/>
  <c r="T415" i="1" s="1"/>
  <c r="P501" i="1"/>
  <c r="M499" i="1"/>
  <c r="P499" i="1" s="1"/>
  <c r="L557" i="1"/>
  <c r="O557" i="1" s="1"/>
  <c r="N577" i="1"/>
  <c r="N576" i="1" s="1"/>
  <c r="N579" i="1"/>
  <c r="J701" i="1"/>
  <c r="R303" i="2"/>
  <c r="U303" i="2" s="1"/>
  <c r="U194" i="2"/>
  <c r="R192" i="2"/>
  <c r="U192" i="2" s="1"/>
  <c r="M96" i="2"/>
  <c r="M94" i="2" s="1"/>
  <c r="P94" i="2" s="1"/>
  <c r="P99" i="2"/>
  <c r="M97" i="2"/>
  <c r="P97" i="2" s="1"/>
  <c r="M75" i="2"/>
  <c r="P75" i="2" s="1"/>
  <c r="P77" i="2"/>
  <c r="S537" i="1"/>
  <c r="S535" i="1"/>
  <c r="R622" i="1"/>
  <c r="U622" i="1" s="1"/>
  <c r="U624" i="1"/>
  <c r="N766" i="1"/>
  <c r="N141" i="2"/>
  <c r="N139" i="2" s="1"/>
  <c r="N142" i="2"/>
  <c r="K167" i="1"/>
  <c r="Q693" i="1"/>
  <c r="N761" i="1"/>
  <c r="P560" i="2"/>
  <c r="M558" i="2"/>
  <c r="P558" i="2" s="1"/>
  <c r="M557" i="2"/>
  <c r="P557" i="2" s="1"/>
  <c r="R50" i="1"/>
  <c r="U50" i="1" s="1"/>
  <c r="J82" i="1"/>
  <c r="J70" i="1" s="1"/>
  <c r="L118" i="1"/>
  <c r="O118" i="1" s="1"/>
  <c r="O124" i="1"/>
  <c r="M176" i="1"/>
  <c r="O177" i="1"/>
  <c r="U178" i="1"/>
  <c r="O191" i="1"/>
  <c r="L192" i="1"/>
  <c r="O192" i="1" s="1"/>
  <c r="R232" i="1"/>
  <c r="N26" i="1"/>
  <c r="T379" i="1"/>
  <c r="Q376" i="1"/>
  <c r="T376" i="1" s="1"/>
  <c r="N381" i="1"/>
  <c r="P399" i="1"/>
  <c r="M398" i="1"/>
  <c r="P398" i="1" s="1"/>
  <c r="S416" i="1"/>
  <c r="T580" i="1"/>
  <c r="Q577" i="1"/>
  <c r="T577" i="1" s="1"/>
  <c r="U722" i="1"/>
  <c r="R716" i="1"/>
  <c r="U716" i="1" s="1"/>
  <c r="P691" i="2"/>
  <c r="M690" i="2"/>
  <c r="P690" i="2" s="1"/>
  <c r="L537" i="2"/>
  <c r="O537" i="2" s="1"/>
  <c r="O539" i="2"/>
  <c r="L358" i="2"/>
  <c r="L356" i="2" s="1"/>
  <c r="L359" i="2"/>
  <c r="K198" i="2"/>
  <c r="I195" i="2"/>
  <c r="K195" i="2" s="1"/>
  <c r="R22" i="1"/>
  <c r="U22" i="1" s="1"/>
  <c r="M414" i="1"/>
  <c r="M416" i="1"/>
  <c r="P417" i="1"/>
  <c r="R536" i="1"/>
  <c r="U536" i="1" s="1"/>
  <c r="M188" i="2"/>
  <c r="P191" i="2"/>
  <c r="M189" i="2"/>
  <c r="P189" i="2" s="1"/>
  <c r="N556" i="1"/>
  <c r="N555" i="1" s="1"/>
  <c r="N558" i="1"/>
  <c r="U604" i="1"/>
  <c r="R601" i="1"/>
  <c r="U601" i="1" s="1"/>
  <c r="N160" i="2"/>
  <c r="N159" i="2"/>
  <c r="N157" i="2" s="1"/>
  <c r="T52" i="1"/>
  <c r="P63" i="1"/>
  <c r="K85" i="1"/>
  <c r="K88" i="1"/>
  <c r="K113" i="1"/>
  <c r="I136" i="1"/>
  <c r="K136" i="1" s="1"/>
  <c r="K150" i="1"/>
  <c r="Q159" i="1"/>
  <c r="T159" i="1" s="1"/>
  <c r="N159" i="1"/>
  <c r="N158" i="1"/>
  <c r="L163" i="1"/>
  <c r="O163" i="1" s="1"/>
  <c r="M179" i="1"/>
  <c r="P179" i="1" s="1"/>
  <c r="R174" i="1"/>
  <c r="Q179" i="1"/>
  <c r="T179" i="1" s="1"/>
  <c r="M187" i="1"/>
  <c r="P187" i="1" s="1"/>
  <c r="M189" i="1"/>
  <c r="P189" i="1" s="1"/>
  <c r="P271" i="1"/>
  <c r="Q272" i="1"/>
  <c r="T272" i="1" s="1"/>
  <c r="Q284" i="1"/>
  <c r="T284" i="1" s="1"/>
  <c r="N304" i="1"/>
  <c r="N303" i="1" s="1"/>
  <c r="U324" i="1"/>
  <c r="R357" i="1"/>
  <c r="U357" i="1" s="1"/>
  <c r="L415" i="1"/>
  <c r="S557" i="1"/>
  <c r="S619" i="1"/>
  <c r="U619" i="1" s="1"/>
  <c r="U621" i="1"/>
  <c r="K628" i="1"/>
  <c r="M643" i="1"/>
  <c r="P643" i="1" s="1"/>
  <c r="L692" i="1"/>
  <c r="O692" i="1" s="1"/>
  <c r="O698" i="1"/>
  <c r="K770" i="1"/>
  <c r="K780" i="2"/>
  <c r="S714" i="2"/>
  <c r="R395" i="2"/>
  <c r="U395" i="2" s="1"/>
  <c r="U397" i="2"/>
  <c r="M268" i="2"/>
  <c r="M266" i="2" s="1"/>
  <c r="M269" i="2"/>
  <c r="P269" i="2" s="1"/>
  <c r="P271" i="2"/>
  <c r="Q176" i="2"/>
  <c r="T176" i="2" s="1"/>
  <c r="T178" i="2"/>
  <c r="Q175" i="2"/>
  <c r="T175" i="2" s="1"/>
  <c r="S377" i="1"/>
  <c r="N414" i="1"/>
  <c r="J485" i="1"/>
  <c r="K485" i="1" s="1"/>
  <c r="L622" i="1"/>
  <c r="O622" i="1" s="1"/>
  <c r="N644" i="1"/>
  <c r="J661" i="1"/>
  <c r="J675" i="1"/>
  <c r="U695" i="1"/>
  <c r="Q691" i="1"/>
  <c r="T691" i="1" s="1"/>
  <c r="M716" i="1"/>
  <c r="P716" i="1" s="1"/>
  <c r="U733" i="1"/>
  <c r="K749" i="1"/>
  <c r="Q762" i="1"/>
  <c r="K779" i="1"/>
  <c r="K782" i="1"/>
  <c r="Q714" i="2"/>
  <c r="T714" i="2" s="1"/>
  <c r="J702" i="2"/>
  <c r="N642" i="2"/>
  <c r="K503" i="2"/>
  <c r="S395" i="2"/>
  <c r="O383" i="2"/>
  <c r="L236" i="2"/>
  <c r="L203" i="2"/>
  <c r="O203" i="2" s="1"/>
  <c r="R188" i="2"/>
  <c r="R186" i="2" s="1"/>
  <c r="U191" i="2"/>
  <c r="K109" i="2"/>
  <c r="N96" i="2"/>
  <c r="N94" i="2" s="1"/>
  <c r="L75" i="2"/>
  <c r="O75" i="2" s="1"/>
  <c r="Q59" i="2"/>
  <c r="T59" i="2" s="1"/>
  <c r="T60" i="2"/>
  <c r="Q358" i="1"/>
  <c r="T358" i="1" s="1"/>
  <c r="L362" i="1"/>
  <c r="O362" i="1" s="1"/>
  <c r="Q381" i="1"/>
  <c r="T381" i="1" s="1"/>
  <c r="N395" i="1"/>
  <c r="J476" i="1"/>
  <c r="Q494" i="1"/>
  <c r="T494" i="1" s="1"/>
  <c r="R535" i="1"/>
  <c r="R540" i="1"/>
  <c r="U540" i="1" s="1"/>
  <c r="N561" i="1"/>
  <c r="O604" i="1"/>
  <c r="S622" i="1"/>
  <c r="S692" i="1"/>
  <c r="U692" i="1" s="1"/>
  <c r="S734" i="1"/>
  <c r="N760" i="2"/>
  <c r="I759" i="2"/>
  <c r="K759" i="2" s="1"/>
  <c r="Q605" i="2"/>
  <c r="T605" i="2" s="1"/>
  <c r="T607" i="2"/>
  <c r="Q601" i="2"/>
  <c r="T601" i="2" s="1"/>
  <c r="L578" i="2"/>
  <c r="L576" i="2" s="1"/>
  <c r="L515" i="2"/>
  <c r="L513" i="2" s="1"/>
  <c r="L516" i="2"/>
  <c r="O516" i="2" s="1"/>
  <c r="S496" i="2"/>
  <c r="R378" i="2"/>
  <c r="U380" i="2"/>
  <c r="P336" i="2"/>
  <c r="M163" i="2"/>
  <c r="P163" i="2" s="1"/>
  <c r="P165" i="2"/>
  <c r="S335" i="1"/>
  <c r="R359" i="1"/>
  <c r="U359" i="1" s="1"/>
  <c r="M377" i="1"/>
  <c r="K386" i="1"/>
  <c r="Q398" i="1"/>
  <c r="T398" i="1" s="1"/>
  <c r="R398" i="1"/>
  <c r="U398" i="1" s="1"/>
  <c r="S419" i="1"/>
  <c r="S540" i="1"/>
  <c r="S558" i="1"/>
  <c r="M605" i="1"/>
  <c r="P605" i="1" s="1"/>
  <c r="R696" i="1"/>
  <c r="U696" i="1" s="1"/>
  <c r="S696" i="1"/>
  <c r="I615" i="2"/>
  <c r="K615" i="2" s="1"/>
  <c r="K630" i="2"/>
  <c r="S415" i="2"/>
  <c r="S413" i="2" s="1"/>
  <c r="T418" i="2"/>
  <c r="J332" i="2"/>
  <c r="K332" i="2" s="1"/>
  <c r="L214" i="2"/>
  <c r="O214" i="2" s="1"/>
  <c r="M176" i="2"/>
  <c r="M119" i="2"/>
  <c r="P119" i="2" s="1"/>
  <c r="P122" i="2"/>
  <c r="M120" i="2"/>
  <c r="P120" i="2" s="1"/>
  <c r="M62" i="2"/>
  <c r="P62" i="2" s="1"/>
  <c r="P64" i="2"/>
  <c r="R44" i="2"/>
  <c r="U44" i="2" s="1"/>
  <c r="Q362" i="1"/>
  <c r="T362" i="1" s="1"/>
  <c r="R395" i="1"/>
  <c r="U395" i="1" s="1"/>
  <c r="J424" i="1"/>
  <c r="K424" i="1" s="1"/>
  <c r="J432" i="1"/>
  <c r="K432" i="1" s="1"/>
  <c r="J459" i="1"/>
  <c r="J467" i="1"/>
  <c r="O498" i="1"/>
  <c r="P581" i="1"/>
  <c r="S582" i="1"/>
  <c r="T621" i="1"/>
  <c r="Q618" i="1"/>
  <c r="T618" i="1" s="1"/>
  <c r="J654" i="1"/>
  <c r="K705" i="1"/>
  <c r="N731" i="1"/>
  <c r="L761" i="1"/>
  <c r="O761" i="1" s="1"/>
  <c r="K784" i="2"/>
  <c r="K781" i="2"/>
  <c r="K778" i="2"/>
  <c r="M714" i="2"/>
  <c r="P714" i="2" s="1"/>
  <c r="Q602" i="2"/>
  <c r="T602" i="2" s="1"/>
  <c r="L579" i="2"/>
  <c r="S576" i="2"/>
  <c r="T515" i="2"/>
  <c r="Q513" i="2"/>
  <c r="T513" i="2" s="1"/>
  <c r="Q333" i="2"/>
  <c r="T333" i="2" s="1"/>
  <c r="L254" i="2"/>
  <c r="O254" i="2" s="1"/>
  <c r="L222" i="2"/>
  <c r="O222" i="2" s="1"/>
  <c r="L192" i="2"/>
  <c r="O192" i="2" s="1"/>
  <c r="O194" i="2"/>
  <c r="L61" i="2"/>
  <c r="L59" i="2" s="1"/>
  <c r="L62" i="2"/>
  <c r="O62" i="2" s="1"/>
  <c r="T621" i="2"/>
  <c r="Q576" i="2"/>
  <c r="T576" i="2" s="1"/>
  <c r="K492" i="2"/>
  <c r="N495" i="2"/>
  <c r="L415" i="2"/>
  <c r="P380" i="2"/>
  <c r="K369" i="2"/>
  <c r="S333" i="2"/>
  <c r="N322" i="2"/>
  <c r="N320" i="2" s="1"/>
  <c r="U308" i="2"/>
  <c r="N305" i="2"/>
  <c r="N303" i="2" s="1"/>
  <c r="U268" i="2"/>
  <c r="L268" i="2"/>
  <c r="L266" i="2" s="1"/>
  <c r="R269" i="2"/>
  <c r="I253" i="2"/>
  <c r="K253" i="2" s="1"/>
  <c r="K154" i="2"/>
  <c r="S119" i="2"/>
  <c r="S117" i="2" s="1"/>
  <c r="S120" i="2"/>
  <c r="T120" i="2" s="1"/>
  <c r="K108" i="2"/>
  <c r="R74" i="2"/>
  <c r="U74" i="2" s="1"/>
  <c r="S44" i="2"/>
  <c r="Q44" i="2"/>
  <c r="T44" i="2" s="1"/>
  <c r="R119" i="2"/>
  <c r="Q74" i="2"/>
  <c r="T74" i="2" s="1"/>
  <c r="N19" i="2"/>
  <c r="L616" i="2"/>
  <c r="O616" i="2" s="1"/>
  <c r="N601" i="2"/>
  <c r="N599" i="2" s="1"/>
  <c r="P521" i="2"/>
  <c r="K512" i="2"/>
  <c r="U498" i="2"/>
  <c r="L495" i="2"/>
  <c r="L493" i="2" s="1"/>
  <c r="R496" i="2"/>
  <c r="J457" i="2"/>
  <c r="J456" i="2" s="1"/>
  <c r="K456" i="2" s="1"/>
  <c r="Q394" i="2"/>
  <c r="T394" i="2" s="1"/>
  <c r="R392" i="2"/>
  <c r="U392" i="2" s="1"/>
  <c r="L392" i="2"/>
  <c r="O392" i="2" s="1"/>
  <c r="N377" i="2"/>
  <c r="N375" i="2" s="1"/>
  <c r="N358" i="2"/>
  <c r="N356" i="2" s="1"/>
  <c r="R356" i="2"/>
  <c r="U356" i="2" s="1"/>
  <c r="O323" i="2"/>
  <c r="R320" i="2"/>
  <c r="U320" i="2" s="1"/>
  <c r="L305" i="2"/>
  <c r="L303" i="2" s="1"/>
  <c r="O303" i="2" s="1"/>
  <c r="K276" i="2"/>
  <c r="K221" i="2"/>
  <c r="S176" i="2"/>
  <c r="K169" i="2"/>
  <c r="K153" i="2"/>
  <c r="R141" i="2"/>
  <c r="U141" i="2" s="1"/>
  <c r="M601" i="2"/>
  <c r="P601" i="2" s="1"/>
  <c r="M578" i="2"/>
  <c r="M576" i="2" s="1"/>
  <c r="K575" i="2"/>
  <c r="Q534" i="2"/>
  <c r="T534" i="2" s="1"/>
  <c r="O521" i="2"/>
  <c r="T498" i="2"/>
  <c r="N496" i="2"/>
  <c r="S493" i="2"/>
  <c r="U493" i="2" s="1"/>
  <c r="T416" i="2"/>
  <c r="R413" i="2"/>
  <c r="M377" i="2"/>
  <c r="S378" i="2"/>
  <c r="M358" i="2"/>
  <c r="M356" i="2" s="1"/>
  <c r="M322" i="2"/>
  <c r="M320" i="2" s="1"/>
  <c r="Q320" i="2"/>
  <c r="T320" i="2" s="1"/>
  <c r="N306" i="2"/>
  <c r="L284" i="2"/>
  <c r="O284" i="2" s="1"/>
  <c r="U271" i="2"/>
  <c r="O271" i="2"/>
  <c r="L269" i="2"/>
  <c r="O269" i="2" s="1"/>
  <c r="N232" i="2"/>
  <c r="Q141" i="2"/>
  <c r="T141" i="2" s="1"/>
  <c r="R59" i="2"/>
  <c r="U59" i="2" s="1"/>
  <c r="S19" i="2"/>
  <c r="L19" i="2"/>
  <c r="M356" i="1"/>
  <c r="N359" i="1"/>
  <c r="M582" i="1"/>
  <c r="P582" i="1" s="1"/>
  <c r="P583" i="1"/>
  <c r="M577" i="1"/>
  <c r="N65" i="1"/>
  <c r="T80" i="1"/>
  <c r="J83" i="1"/>
  <c r="J71" i="1" s="1"/>
  <c r="M95" i="1"/>
  <c r="L97" i="1"/>
  <c r="N94" i="1"/>
  <c r="U98" i="1"/>
  <c r="R123" i="1"/>
  <c r="I137" i="1"/>
  <c r="K137" i="1" s="1"/>
  <c r="U147" i="1"/>
  <c r="M158" i="1"/>
  <c r="P158" i="1" s="1"/>
  <c r="N163" i="1"/>
  <c r="J172" i="1"/>
  <c r="K172" i="1" s="1"/>
  <c r="S174" i="1"/>
  <c r="S173" i="1" s="1"/>
  <c r="R176" i="1"/>
  <c r="U176" i="1" s="1"/>
  <c r="P190" i="1"/>
  <c r="Q267" i="1"/>
  <c r="Q269" i="1"/>
  <c r="T269" i="1" s="1"/>
  <c r="N284" i="1"/>
  <c r="N282" i="1" s="1"/>
  <c r="O290" i="1"/>
  <c r="L306" i="1"/>
  <c r="N309" i="1"/>
  <c r="S305" i="1"/>
  <c r="L326" i="1"/>
  <c r="R326" i="1"/>
  <c r="U326" i="1" s="1"/>
  <c r="R334" i="1"/>
  <c r="U334" i="1" s="1"/>
  <c r="R336" i="1"/>
  <c r="U336" i="1" s="1"/>
  <c r="K346" i="1"/>
  <c r="Q359" i="1"/>
  <c r="T359" i="1" s="1"/>
  <c r="M376" i="1"/>
  <c r="M394" i="1"/>
  <c r="P394" i="1" s="1"/>
  <c r="U396" i="1"/>
  <c r="L398" i="1"/>
  <c r="O398" i="1" s="1"/>
  <c r="S398" i="1"/>
  <c r="O517" i="1"/>
  <c r="L514" i="1"/>
  <c r="O514" i="1" s="1"/>
  <c r="M692" i="1"/>
  <c r="P692" i="1" s="1"/>
  <c r="P695" i="1"/>
  <c r="T698" i="1"/>
  <c r="Q696" i="1"/>
  <c r="T696" i="1" s="1"/>
  <c r="T718" i="1"/>
  <c r="Q717" i="1"/>
  <c r="T717" i="1" s="1"/>
  <c r="Q715" i="1"/>
  <c r="K705" i="2"/>
  <c r="J701" i="2"/>
  <c r="R690" i="2"/>
  <c r="U691" i="2"/>
  <c r="J675" i="2"/>
  <c r="R619" i="2"/>
  <c r="R618" i="2"/>
  <c r="U621" i="2"/>
  <c r="U604" i="2"/>
  <c r="R602" i="2"/>
  <c r="U602" i="2" s="1"/>
  <c r="R601" i="2"/>
  <c r="U601" i="2" s="1"/>
  <c r="O581" i="2"/>
  <c r="P581" i="2"/>
  <c r="N579" i="2"/>
  <c r="P579" i="2" s="1"/>
  <c r="N578" i="2"/>
  <c r="K457" i="2"/>
  <c r="Q644" i="1"/>
  <c r="T644" i="1" s="1"/>
  <c r="T647" i="1"/>
  <c r="I701" i="2"/>
  <c r="K703" i="2"/>
  <c r="L46" i="1"/>
  <c r="L44" i="1" s="1"/>
  <c r="R47" i="1"/>
  <c r="U47" i="1" s="1"/>
  <c r="T49" i="1"/>
  <c r="N61" i="1"/>
  <c r="P61" i="1" s="1"/>
  <c r="L74" i="1"/>
  <c r="O74" i="1" s="1"/>
  <c r="P76" i="1"/>
  <c r="I82" i="1"/>
  <c r="M97" i="1"/>
  <c r="Q118" i="1"/>
  <c r="T118" i="1" s="1"/>
  <c r="U121" i="1"/>
  <c r="T141" i="1"/>
  <c r="Q189" i="1"/>
  <c r="P191" i="1"/>
  <c r="K238" i="1"/>
  <c r="R267" i="1"/>
  <c r="U267" i="1" s="1"/>
  <c r="M272" i="1"/>
  <c r="P272" i="1" s="1"/>
  <c r="S285" i="1"/>
  <c r="R285" i="1"/>
  <c r="U285" i="1" s="1"/>
  <c r="S288" i="1"/>
  <c r="R304" i="1"/>
  <c r="T308" i="1"/>
  <c r="U311" i="1"/>
  <c r="N326" i="1"/>
  <c r="L334" i="1"/>
  <c r="O334" i="1" s="1"/>
  <c r="L336" i="1"/>
  <c r="O336" i="1" s="1"/>
  <c r="S336" i="1"/>
  <c r="P361" i="1"/>
  <c r="O364" i="1"/>
  <c r="U364" i="1"/>
  <c r="K369" i="1"/>
  <c r="M381" i="1"/>
  <c r="P381" i="1" s="1"/>
  <c r="U399" i="1"/>
  <c r="U418" i="1"/>
  <c r="L419" i="1"/>
  <c r="O419" i="1" s="1"/>
  <c r="S561" i="1"/>
  <c r="S556" i="1"/>
  <c r="L644" i="1"/>
  <c r="O644" i="1" s="1"/>
  <c r="T721" i="1"/>
  <c r="Q720" i="1"/>
  <c r="T720" i="1" s="1"/>
  <c r="N729" i="1"/>
  <c r="N762" i="1"/>
  <c r="Q760" i="2"/>
  <c r="T761" i="2"/>
  <c r="L714" i="2"/>
  <c r="O714" i="2" s="1"/>
  <c r="Q645" i="2"/>
  <c r="T645" i="2" s="1"/>
  <c r="Q644" i="2"/>
  <c r="T647" i="2"/>
  <c r="L642" i="2"/>
  <c r="O642" i="2" s="1"/>
  <c r="O643" i="2"/>
  <c r="O577" i="2"/>
  <c r="N557" i="2"/>
  <c r="N555" i="2" s="1"/>
  <c r="N537" i="2"/>
  <c r="N536" i="2"/>
  <c r="N534" i="2" s="1"/>
  <c r="T268" i="2"/>
  <c r="Q266" i="2"/>
  <c r="P178" i="2"/>
  <c r="N175" i="2"/>
  <c r="N173" i="2" s="1"/>
  <c r="N176" i="2"/>
  <c r="S78" i="1"/>
  <c r="R142" i="1"/>
  <c r="M188" i="1"/>
  <c r="P188" i="1" s="1"/>
  <c r="Q288" i="1"/>
  <c r="T288" i="1" s="1"/>
  <c r="T581" i="1"/>
  <c r="Q578" i="1"/>
  <c r="Q579" i="1"/>
  <c r="T579" i="1" s="1"/>
  <c r="Q46" i="1"/>
  <c r="T46" i="1" s="1"/>
  <c r="M46" i="1"/>
  <c r="M44" i="1" s="1"/>
  <c r="L50" i="1"/>
  <c r="O50" i="1" s="1"/>
  <c r="L22" i="1"/>
  <c r="O22" i="1" s="1"/>
  <c r="S62" i="1"/>
  <c r="R95" i="1"/>
  <c r="R97" i="1"/>
  <c r="U99" i="1"/>
  <c r="P102" i="1"/>
  <c r="R118" i="1"/>
  <c r="L120" i="1"/>
  <c r="O120" i="1" s="1"/>
  <c r="O121" i="1"/>
  <c r="T124" i="1"/>
  <c r="P125" i="1"/>
  <c r="N142" i="1"/>
  <c r="T144" i="1"/>
  <c r="L174" i="1"/>
  <c r="K229" i="1"/>
  <c r="S267" i="1"/>
  <c r="S266" i="1" s="1"/>
  <c r="O271" i="1"/>
  <c r="M288" i="1"/>
  <c r="P288" i="1" s="1"/>
  <c r="L305" i="1"/>
  <c r="O305" i="1" s="1"/>
  <c r="U308" i="1"/>
  <c r="O327" i="1"/>
  <c r="P328" i="1"/>
  <c r="M334" i="1"/>
  <c r="Q336" i="1"/>
  <c r="T336" i="1" s="1"/>
  <c r="P337" i="1"/>
  <c r="P338" i="1"/>
  <c r="L339" i="1"/>
  <c r="S359" i="1"/>
  <c r="S362" i="1"/>
  <c r="T417" i="1"/>
  <c r="J433" i="1"/>
  <c r="K433" i="1" s="1"/>
  <c r="J477" i="1"/>
  <c r="J484" i="1"/>
  <c r="J475" i="1" s="1"/>
  <c r="R496" i="1"/>
  <c r="U496" i="1" s="1"/>
  <c r="U497" i="1"/>
  <c r="P538" i="1"/>
  <c r="M535" i="1"/>
  <c r="P535" i="1" s="1"/>
  <c r="S577" i="1"/>
  <c r="O735" i="1"/>
  <c r="L734" i="1"/>
  <c r="O734" i="1" s="1"/>
  <c r="Q734" i="1"/>
  <c r="T734" i="1" s="1"/>
  <c r="Q730" i="1"/>
  <c r="T730" i="1" s="1"/>
  <c r="T736" i="1"/>
  <c r="R714" i="2"/>
  <c r="U714" i="2" s="1"/>
  <c r="O607" i="2"/>
  <c r="L605" i="2"/>
  <c r="O605" i="2" s="1"/>
  <c r="P376" i="2"/>
  <c r="U122" i="1"/>
  <c r="L145" i="1"/>
  <c r="O145" i="1" s="1"/>
  <c r="P146" i="1"/>
  <c r="S163" i="1"/>
  <c r="R163" i="1"/>
  <c r="U163" i="1" s="1"/>
  <c r="N175" i="1"/>
  <c r="P175" i="1" s="1"/>
  <c r="P178" i="1"/>
  <c r="N179" i="1"/>
  <c r="N266" i="1"/>
  <c r="R306" i="1"/>
  <c r="Q326" i="1"/>
  <c r="T326" i="1" s="1"/>
  <c r="M362" i="1"/>
  <c r="P362" i="1" s="1"/>
  <c r="O497" i="1"/>
  <c r="L496" i="1"/>
  <c r="L494" i="1"/>
  <c r="P562" i="1"/>
  <c r="M556" i="1"/>
  <c r="P556" i="1" s="1"/>
  <c r="N600" i="1"/>
  <c r="N602" i="1"/>
  <c r="M618" i="1"/>
  <c r="P618" i="1" s="1"/>
  <c r="P621" i="1"/>
  <c r="M619" i="1"/>
  <c r="P619" i="1" s="1"/>
  <c r="M761" i="1"/>
  <c r="P761" i="1" s="1"/>
  <c r="M760" i="2"/>
  <c r="P760" i="2" s="1"/>
  <c r="U643" i="2"/>
  <c r="M616" i="2"/>
  <c r="P616" i="2" s="1"/>
  <c r="P617" i="2"/>
  <c r="R576" i="2"/>
  <c r="U576" i="2" s="1"/>
  <c r="U577" i="2"/>
  <c r="U535" i="2"/>
  <c r="R534" i="2"/>
  <c r="U534" i="2" s="1"/>
  <c r="R145" i="1"/>
  <c r="R46" i="1"/>
  <c r="U46" i="1" s="1"/>
  <c r="O64" i="1"/>
  <c r="R25" i="1"/>
  <c r="S46" i="1"/>
  <c r="S44" i="1" s="1"/>
  <c r="N62" i="1"/>
  <c r="S65" i="1"/>
  <c r="L73" i="1"/>
  <c r="O73" i="1" s="1"/>
  <c r="S75" i="1"/>
  <c r="S120" i="1"/>
  <c r="Q142" i="1"/>
  <c r="S157" i="1"/>
  <c r="Q174" i="1"/>
  <c r="T174" i="1" s="1"/>
  <c r="S189" i="1"/>
  <c r="L304" i="1"/>
  <c r="O304" i="1" s="1"/>
  <c r="N322" i="1"/>
  <c r="N335" i="1"/>
  <c r="L357" i="1"/>
  <c r="O357" i="1" s="1"/>
  <c r="L359" i="1"/>
  <c r="S376" i="1"/>
  <c r="Q393" i="1"/>
  <c r="T393" i="1" s="1"/>
  <c r="R493" i="1"/>
  <c r="U559" i="1"/>
  <c r="R556" i="1"/>
  <c r="U556" i="1" s="1"/>
  <c r="T560" i="1"/>
  <c r="Q558" i="1"/>
  <c r="T558" i="1" s="1"/>
  <c r="Q557" i="1"/>
  <c r="T557" i="1" s="1"/>
  <c r="Q617" i="1"/>
  <c r="T617" i="1" s="1"/>
  <c r="T620" i="1"/>
  <c r="Q619" i="1"/>
  <c r="K627" i="1"/>
  <c r="K689" i="1"/>
  <c r="M730" i="1"/>
  <c r="P730" i="1" s="1"/>
  <c r="O768" i="1"/>
  <c r="L762" i="1"/>
  <c r="O762" i="1" s="1"/>
  <c r="K774" i="1"/>
  <c r="I759" i="1"/>
  <c r="K759" i="1" s="1"/>
  <c r="L728" i="2"/>
  <c r="O728" i="2" s="1"/>
  <c r="Q693" i="2"/>
  <c r="T693" i="2" s="1"/>
  <c r="Q692" i="2"/>
  <c r="T695" i="2"/>
  <c r="L690" i="2"/>
  <c r="O690" i="2" s="1"/>
  <c r="O691" i="2"/>
  <c r="S616" i="2"/>
  <c r="U607" i="2"/>
  <c r="R605" i="2"/>
  <c r="U605" i="2" s="1"/>
  <c r="O604" i="2"/>
  <c r="L602" i="2"/>
  <c r="O602" i="2" s="1"/>
  <c r="O542" i="2"/>
  <c r="L540" i="2"/>
  <c r="O540" i="2" s="1"/>
  <c r="U498" i="1"/>
  <c r="K507" i="1"/>
  <c r="R514" i="1"/>
  <c r="U514" i="1" s="1"/>
  <c r="T518" i="1"/>
  <c r="L535" i="1"/>
  <c r="L577" i="1"/>
  <c r="O577" i="1" s="1"/>
  <c r="N601" i="1"/>
  <c r="L617" i="1"/>
  <c r="O617" i="1" s="1"/>
  <c r="L619" i="1"/>
  <c r="O619" i="1" s="1"/>
  <c r="M622" i="1"/>
  <c r="P622" i="1" s="1"/>
  <c r="J636" i="1"/>
  <c r="J635" i="1" s="1"/>
  <c r="L693" i="1"/>
  <c r="O693" i="1" s="1"/>
  <c r="T695" i="1"/>
  <c r="O719" i="1"/>
  <c r="T733" i="1"/>
  <c r="M766" i="1"/>
  <c r="P766" i="1" s="1"/>
  <c r="U765" i="2"/>
  <c r="R762" i="2"/>
  <c r="P761" i="2"/>
  <c r="T733" i="2"/>
  <c r="Q730" i="2"/>
  <c r="U729" i="2"/>
  <c r="O729" i="2"/>
  <c r="U715" i="2"/>
  <c r="O715" i="2"/>
  <c r="S692" i="2"/>
  <c r="S690" i="2" s="1"/>
  <c r="S644" i="2"/>
  <c r="S642" i="2" s="1"/>
  <c r="K629" i="2"/>
  <c r="M605" i="2"/>
  <c r="P605" i="2" s="1"/>
  <c r="S602" i="2"/>
  <c r="M602" i="2"/>
  <c r="P602" i="2" s="1"/>
  <c r="U600" i="2"/>
  <c r="O600" i="2"/>
  <c r="L582" i="2"/>
  <c r="O582" i="2" s="1"/>
  <c r="L557" i="2"/>
  <c r="O557" i="2" s="1"/>
  <c r="M540" i="2"/>
  <c r="P540" i="2" s="1"/>
  <c r="M536" i="2"/>
  <c r="P536" i="2" s="1"/>
  <c r="N515" i="2"/>
  <c r="Q415" i="2"/>
  <c r="T377" i="2"/>
  <c r="S375" i="2"/>
  <c r="O336" i="2"/>
  <c r="R333" i="2"/>
  <c r="U333" i="2" s="1"/>
  <c r="U335" i="2"/>
  <c r="Q159" i="2"/>
  <c r="T162" i="2"/>
  <c r="Q160" i="2"/>
  <c r="T160" i="2" s="1"/>
  <c r="S515" i="1"/>
  <c r="S513" i="1" s="1"/>
  <c r="L536" i="1"/>
  <c r="O536" i="1" s="1"/>
  <c r="R537" i="1"/>
  <c r="U537" i="1" s="1"/>
  <c r="Q540" i="1"/>
  <c r="T540" i="1" s="1"/>
  <c r="M558" i="1"/>
  <c r="P558" i="1" s="1"/>
  <c r="O562" i="1"/>
  <c r="M578" i="1"/>
  <c r="P578" i="1" s="1"/>
  <c r="L579" i="1"/>
  <c r="M644" i="1"/>
  <c r="P644" i="1" s="1"/>
  <c r="J682" i="1"/>
  <c r="Q692" i="1"/>
  <c r="K707" i="1"/>
  <c r="S717" i="1"/>
  <c r="S720" i="1"/>
  <c r="R729" i="1"/>
  <c r="U729" i="1" s="1"/>
  <c r="N734" i="1"/>
  <c r="K746" i="1"/>
  <c r="K752" i="1"/>
  <c r="R761" i="1"/>
  <c r="U761" i="1" s="1"/>
  <c r="R762" i="1"/>
  <c r="K778" i="1"/>
  <c r="K781" i="1"/>
  <c r="K784" i="1"/>
  <c r="T765" i="2"/>
  <c r="U695" i="2"/>
  <c r="U647" i="2"/>
  <c r="P604" i="2"/>
  <c r="O560" i="2"/>
  <c r="U556" i="2"/>
  <c r="L536" i="2"/>
  <c r="O536" i="2" s="1"/>
  <c r="T536" i="2"/>
  <c r="O535" i="2"/>
  <c r="P518" i="2"/>
  <c r="M515" i="2"/>
  <c r="P514" i="2"/>
  <c r="L496" i="2"/>
  <c r="J374" i="2"/>
  <c r="Q375" i="2"/>
  <c r="P334" i="2"/>
  <c r="T308" i="2"/>
  <c r="Q305" i="2"/>
  <c r="L499" i="1"/>
  <c r="O499" i="1" s="1"/>
  <c r="N499" i="1"/>
  <c r="K505" i="1"/>
  <c r="S536" i="1"/>
  <c r="R605" i="1"/>
  <c r="U605" i="1" s="1"/>
  <c r="J632" i="1"/>
  <c r="J626" i="1" s="1"/>
  <c r="J615" i="1" s="1"/>
  <c r="S728" i="1"/>
  <c r="S731" i="1"/>
  <c r="K772" i="2"/>
  <c r="U495" i="2"/>
  <c r="K386" i="2"/>
  <c r="I374" i="2"/>
  <c r="P361" i="2"/>
  <c r="M359" i="2"/>
  <c r="O421" i="2"/>
  <c r="L419" i="2"/>
  <c r="O419" i="2" s="1"/>
  <c r="N416" i="2"/>
  <c r="P416" i="2" s="1"/>
  <c r="N415" i="2"/>
  <c r="N413" i="2" s="1"/>
  <c r="L339" i="2"/>
  <c r="O339" i="2" s="1"/>
  <c r="L335" i="2"/>
  <c r="L333" i="2" s="1"/>
  <c r="O341" i="2"/>
  <c r="K506" i="1"/>
  <c r="L537" i="1"/>
  <c r="O537" i="1" s="1"/>
  <c r="N540" i="1"/>
  <c r="N720" i="1"/>
  <c r="L729" i="1"/>
  <c r="O729" i="1" s="1"/>
  <c r="R734" i="1"/>
  <c r="U734" i="1" s="1"/>
  <c r="K740" i="1"/>
  <c r="S766" i="1"/>
  <c r="K785" i="1"/>
  <c r="N558" i="2"/>
  <c r="Q555" i="2"/>
  <c r="T555" i="2" s="1"/>
  <c r="T556" i="2"/>
  <c r="L519" i="2"/>
  <c r="O519" i="2" s="1"/>
  <c r="R513" i="2"/>
  <c r="U513" i="2" s="1"/>
  <c r="Q496" i="2"/>
  <c r="Q495" i="2"/>
  <c r="I412" i="2"/>
  <c r="K412" i="2" s="1"/>
  <c r="K423" i="2"/>
  <c r="M419" i="2"/>
  <c r="P419" i="2" s="1"/>
  <c r="M415" i="2"/>
  <c r="Q356" i="2"/>
  <c r="T356" i="2" s="1"/>
  <c r="T357" i="2"/>
  <c r="O338" i="2"/>
  <c r="N335" i="2"/>
  <c r="N333" i="2" s="1"/>
  <c r="P338" i="2"/>
  <c r="I281" i="2"/>
  <c r="K281" i="2" s="1"/>
  <c r="K292" i="2"/>
  <c r="L234" i="2"/>
  <c r="L243" i="2"/>
  <c r="P418" i="2"/>
  <c r="R416" i="2"/>
  <c r="U416" i="2" s="1"/>
  <c r="L416" i="2"/>
  <c r="T414" i="2"/>
  <c r="T393" i="2"/>
  <c r="T380" i="2"/>
  <c r="N359" i="2"/>
  <c r="P357" i="2"/>
  <c r="M339" i="2"/>
  <c r="P339" i="2" s="1"/>
  <c r="M335" i="2"/>
  <c r="I302" i="2"/>
  <c r="K302" i="2" s="1"/>
  <c r="K314" i="2"/>
  <c r="T284" i="2"/>
  <c r="Q282" i="2"/>
  <c r="T282" i="2" s="1"/>
  <c r="S266" i="2"/>
  <c r="R266" i="2"/>
  <c r="I238" i="2"/>
  <c r="K238" i="2" s="1"/>
  <c r="P174" i="2"/>
  <c r="L159" i="2"/>
  <c r="P147" i="2"/>
  <c r="M145" i="2"/>
  <c r="P145" i="2" s="1"/>
  <c r="M141" i="2"/>
  <c r="P141" i="2" s="1"/>
  <c r="Q97" i="2"/>
  <c r="T97" i="2" s="1"/>
  <c r="Q96" i="2"/>
  <c r="T99" i="2"/>
  <c r="U418" i="2"/>
  <c r="O418" i="2"/>
  <c r="U357" i="2"/>
  <c r="O357" i="2"/>
  <c r="O325" i="2"/>
  <c r="U321" i="2"/>
  <c r="P187" i="2"/>
  <c r="O178" i="2"/>
  <c r="L163" i="2"/>
  <c r="O163" i="2" s="1"/>
  <c r="R377" i="2"/>
  <c r="L377" i="2"/>
  <c r="K344" i="2"/>
  <c r="N284" i="2"/>
  <c r="N282" i="2" s="1"/>
  <c r="T194" i="2"/>
  <c r="Q192" i="2"/>
  <c r="T192" i="2" s="1"/>
  <c r="T191" i="2"/>
  <c r="Q189" i="2"/>
  <c r="O187" i="2"/>
  <c r="S173" i="2"/>
  <c r="Q123" i="2"/>
  <c r="T123" i="2" s="1"/>
  <c r="T125" i="2"/>
  <c r="O361" i="2"/>
  <c r="P325" i="2"/>
  <c r="M323" i="2"/>
  <c r="P323" i="2" s="1"/>
  <c r="S306" i="2"/>
  <c r="P290" i="2"/>
  <c r="M288" i="2"/>
  <c r="P288" i="2" s="1"/>
  <c r="M284" i="2"/>
  <c r="K209" i="2"/>
  <c r="I202" i="2"/>
  <c r="K202" i="2" s="1"/>
  <c r="R173" i="2"/>
  <c r="U173" i="2" s="1"/>
  <c r="L142" i="2"/>
  <c r="O142" i="2" s="1"/>
  <c r="L141" i="2"/>
  <c r="O144" i="2"/>
  <c r="L326" i="2"/>
  <c r="O326" i="2" s="1"/>
  <c r="L322" i="2"/>
  <c r="P267" i="2"/>
  <c r="U187" i="2"/>
  <c r="S142" i="2"/>
  <c r="S141" i="2"/>
  <c r="S139" i="2" s="1"/>
  <c r="Q26" i="2"/>
  <c r="N100" i="2"/>
  <c r="K87" i="2"/>
  <c r="I83" i="2"/>
  <c r="N268" i="2"/>
  <c r="N266" i="2" s="1"/>
  <c r="L176" i="2"/>
  <c r="N26" i="2"/>
  <c r="N24" i="2" s="1"/>
  <c r="K249" i="2"/>
  <c r="R176" i="2"/>
  <c r="U176" i="2" s="1"/>
  <c r="O122" i="2"/>
  <c r="L120" i="2"/>
  <c r="O120" i="2" s="1"/>
  <c r="Q119" i="2"/>
  <c r="O102" i="2"/>
  <c r="L100" i="2"/>
  <c r="O100" i="2" s="1"/>
  <c r="O95" i="2"/>
  <c r="P52" i="2"/>
  <c r="M26" i="2"/>
  <c r="M50" i="2"/>
  <c r="P50" i="2" s="1"/>
  <c r="L288" i="2"/>
  <c r="O288" i="2" s="1"/>
  <c r="L175" i="2"/>
  <c r="L173" i="2" s="1"/>
  <c r="O147" i="2"/>
  <c r="O125" i="2"/>
  <c r="L123" i="2"/>
  <c r="O123" i="2" s="1"/>
  <c r="U122" i="2"/>
  <c r="R120" i="2"/>
  <c r="N119" i="2"/>
  <c r="N117" i="2" s="1"/>
  <c r="U95" i="2"/>
  <c r="L26" i="2"/>
  <c r="P22" i="2"/>
  <c r="M19" i="2"/>
  <c r="U178" i="2"/>
  <c r="U174" i="2"/>
  <c r="U144" i="2"/>
  <c r="P144" i="2"/>
  <c r="M142" i="2"/>
  <c r="P142" i="2" s="1"/>
  <c r="U125" i="2"/>
  <c r="R123" i="2"/>
  <c r="U123" i="2" s="1"/>
  <c r="L119" i="2"/>
  <c r="O119" i="2" s="1"/>
  <c r="R26" i="2"/>
  <c r="P67" i="2"/>
  <c r="M65" i="2"/>
  <c r="P25" i="2"/>
  <c r="O19" i="2"/>
  <c r="T144" i="2"/>
  <c r="U80" i="2"/>
  <c r="O80" i="2"/>
  <c r="Q78" i="2"/>
  <c r="T78" i="2" s="1"/>
  <c r="U77" i="2"/>
  <c r="O77" i="2"/>
  <c r="Q75" i="2"/>
  <c r="T75" i="2" s="1"/>
  <c r="O64" i="2"/>
  <c r="N50" i="2"/>
  <c r="O49" i="2"/>
  <c r="N23" i="2"/>
  <c r="R96" i="2"/>
  <c r="U96" i="2" s="1"/>
  <c r="L96" i="2"/>
  <c r="O96" i="2" s="1"/>
  <c r="N74" i="2"/>
  <c r="N72" i="2" s="1"/>
  <c r="N61" i="2"/>
  <c r="N59" i="2" s="1"/>
  <c r="N46" i="2"/>
  <c r="S26" i="2"/>
  <c r="S24" i="2" s="1"/>
  <c r="S23" i="2"/>
  <c r="S21" i="2" s="1"/>
  <c r="M23" i="2"/>
  <c r="Q19" i="2"/>
  <c r="S74" i="2"/>
  <c r="S72" i="2" s="1"/>
  <c r="M74" i="2"/>
  <c r="M61" i="2"/>
  <c r="M46" i="2"/>
  <c r="R23" i="2"/>
  <c r="L23" i="2"/>
  <c r="R97" i="2"/>
  <c r="U97" i="2" s="1"/>
  <c r="L97" i="2"/>
  <c r="O97" i="2" s="1"/>
  <c r="Q23" i="2"/>
  <c r="O45" i="1"/>
  <c r="M65" i="1"/>
  <c r="P67" i="1"/>
  <c r="U73" i="1"/>
  <c r="T99" i="1"/>
  <c r="Q23" i="1"/>
  <c r="T164" i="1"/>
  <c r="Q163" i="1"/>
  <c r="T163" i="1" s="1"/>
  <c r="M23" i="1"/>
  <c r="S74" i="1"/>
  <c r="T77" i="1"/>
  <c r="T122" i="1"/>
  <c r="Q119" i="1"/>
  <c r="J202" i="1"/>
  <c r="K202" i="1" s="1"/>
  <c r="K209" i="1"/>
  <c r="P287" i="1"/>
  <c r="M284" i="1"/>
  <c r="T324" i="1"/>
  <c r="Q321" i="1"/>
  <c r="Q323" i="1"/>
  <c r="T323" i="1" s="1"/>
  <c r="R381" i="1"/>
  <c r="U381" i="1" s="1"/>
  <c r="U382" i="1"/>
  <c r="R376" i="1"/>
  <c r="Q413" i="1"/>
  <c r="P514" i="1"/>
  <c r="U649" i="1"/>
  <c r="R648" i="1"/>
  <c r="U648" i="1" s="1"/>
  <c r="N23" i="1"/>
  <c r="T66" i="1"/>
  <c r="Q65" i="1"/>
  <c r="T65" i="1" s="1"/>
  <c r="N75" i="1"/>
  <c r="P77" i="1"/>
  <c r="M75" i="1"/>
  <c r="J92" i="1"/>
  <c r="K92" i="1" s="1"/>
  <c r="Q97" i="1"/>
  <c r="Q120" i="1"/>
  <c r="S123" i="1"/>
  <c r="S25" i="1"/>
  <c r="K127" i="1"/>
  <c r="I116" i="1"/>
  <c r="K116" i="1" s="1"/>
  <c r="R160" i="1"/>
  <c r="U160" i="1" s="1"/>
  <c r="R23" i="1"/>
  <c r="U162" i="1"/>
  <c r="R159" i="1"/>
  <c r="U159" i="1" s="1"/>
  <c r="N187" i="1"/>
  <c r="N186" i="1" s="1"/>
  <c r="M306" i="1"/>
  <c r="P307" i="1"/>
  <c r="K371" i="1"/>
  <c r="J365" i="1"/>
  <c r="K365" i="1" s="1"/>
  <c r="L381" i="1"/>
  <c r="O381" i="1" s="1"/>
  <c r="O382" i="1"/>
  <c r="L376" i="1"/>
  <c r="N398" i="1"/>
  <c r="N394" i="1"/>
  <c r="N392" i="1" s="1"/>
  <c r="U421" i="1"/>
  <c r="R415" i="1"/>
  <c r="O76" i="1"/>
  <c r="L75" i="1"/>
  <c r="P121" i="1"/>
  <c r="M118" i="1"/>
  <c r="M120" i="1"/>
  <c r="P120" i="1" s="1"/>
  <c r="M22" i="1"/>
  <c r="P64" i="1"/>
  <c r="M62" i="1"/>
  <c r="M78" i="1"/>
  <c r="P78" i="1" s="1"/>
  <c r="P80" i="1"/>
  <c r="N120" i="1"/>
  <c r="N118" i="1"/>
  <c r="N117" i="1" s="1"/>
  <c r="S23" i="1"/>
  <c r="N46" i="1"/>
  <c r="T63" i="1"/>
  <c r="Q62" i="1"/>
  <c r="T62" i="1" s="1"/>
  <c r="Q96" i="1"/>
  <c r="T96" i="1" s="1"/>
  <c r="P124" i="1"/>
  <c r="M25" i="1"/>
  <c r="O144" i="1"/>
  <c r="L23" i="1"/>
  <c r="L142" i="1"/>
  <c r="R26" i="1"/>
  <c r="U274" i="1"/>
  <c r="R272" i="1"/>
  <c r="U272" i="1" s="1"/>
  <c r="U380" i="1"/>
  <c r="R377" i="1"/>
  <c r="S395" i="1"/>
  <c r="S393" i="1"/>
  <c r="S392" i="1" s="1"/>
  <c r="Q395" i="1"/>
  <c r="T395" i="1" s="1"/>
  <c r="T397" i="1"/>
  <c r="P418" i="1"/>
  <c r="N416" i="1"/>
  <c r="N415" i="1"/>
  <c r="T45" i="1"/>
  <c r="M50" i="1"/>
  <c r="P50" i="1" s="1"/>
  <c r="P52" i="1"/>
  <c r="Q60" i="1"/>
  <c r="U63" i="1"/>
  <c r="R62" i="1"/>
  <c r="U62" i="1" s="1"/>
  <c r="L65" i="1"/>
  <c r="O66" i="1"/>
  <c r="T76" i="1"/>
  <c r="Q75" i="1"/>
  <c r="R78" i="1"/>
  <c r="U78" i="1" s="1"/>
  <c r="U79" i="1"/>
  <c r="P144" i="1"/>
  <c r="M141" i="1"/>
  <c r="L159" i="1"/>
  <c r="O162" i="1"/>
  <c r="R179" i="1"/>
  <c r="U179" i="1" s="1"/>
  <c r="U180" i="1"/>
  <c r="U190" i="1"/>
  <c r="R189" i="1"/>
  <c r="R187" i="1"/>
  <c r="M269" i="1"/>
  <c r="P270" i="1"/>
  <c r="M267" i="1"/>
  <c r="L272" i="1"/>
  <c r="O272" i="1" s="1"/>
  <c r="L26" i="1"/>
  <c r="O274" i="1"/>
  <c r="N377" i="1"/>
  <c r="L395" i="1"/>
  <c r="O395" i="1" s="1"/>
  <c r="O396" i="1"/>
  <c r="L393" i="1"/>
  <c r="R416" i="1"/>
  <c r="R414" i="1"/>
  <c r="U417" i="1"/>
  <c r="I456" i="1"/>
  <c r="P49" i="1"/>
  <c r="M47" i="1"/>
  <c r="P47" i="1" s="1"/>
  <c r="N22" i="1"/>
  <c r="N97" i="1"/>
  <c r="Q145" i="1"/>
  <c r="T146" i="1"/>
  <c r="Q140" i="1"/>
  <c r="O60" i="1"/>
  <c r="Q25" i="1"/>
  <c r="R65" i="1"/>
  <c r="U65" i="1" s="1"/>
  <c r="U66" i="1"/>
  <c r="M74" i="1"/>
  <c r="T79" i="1"/>
  <c r="Q78" i="1"/>
  <c r="T78" i="1" s="1"/>
  <c r="I83" i="1"/>
  <c r="N25" i="1"/>
  <c r="N100" i="1"/>
  <c r="T102" i="1"/>
  <c r="Q26" i="1"/>
  <c r="Q22" i="1"/>
  <c r="M26" i="1"/>
  <c r="U45" i="1"/>
  <c r="O49" i="1"/>
  <c r="R60" i="1"/>
  <c r="O63" i="1"/>
  <c r="L62" i="1"/>
  <c r="O67" i="1"/>
  <c r="Q73" i="1"/>
  <c r="U76" i="1"/>
  <c r="R75" i="1"/>
  <c r="U77" i="1"/>
  <c r="L78" i="1"/>
  <c r="O78" i="1" s="1"/>
  <c r="O79" i="1"/>
  <c r="K87" i="1"/>
  <c r="Q100" i="1"/>
  <c r="T100" i="1" s="1"/>
  <c r="M123" i="1"/>
  <c r="N145" i="1"/>
  <c r="N141" i="1"/>
  <c r="N139" i="1" s="1"/>
  <c r="P165" i="1"/>
  <c r="M159" i="1"/>
  <c r="P311" i="1"/>
  <c r="M305" i="1"/>
  <c r="P305" i="1" s="1"/>
  <c r="L416" i="1"/>
  <c r="L414" i="1"/>
  <c r="O417" i="1"/>
  <c r="U584" i="1"/>
  <c r="R582" i="1"/>
  <c r="U582" i="1" s="1"/>
  <c r="Q309" i="1"/>
  <c r="T309" i="1" s="1"/>
  <c r="T310" i="1"/>
  <c r="Q304" i="1"/>
  <c r="L335" i="1"/>
  <c r="T340" i="1"/>
  <c r="Q339" i="1"/>
  <c r="T339" i="1" s="1"/>
  <c r="Q334" i="1"/>
  <c r="J343" i="1"/>
  <c r="J332" i="1"/>
  <c r="K332" i="1" s="1"/>
  <c r="K344" i="1"/>
  <c r="P396" i="1"/>
  <c r="M393" i="1"/>
  <c r="M395" i="1"/>
  <c r="P395" i="1" s="1"/>
  <c r="Q416" i="1"/>
  <c r="T418" i="1"/>
  <c r="M516" i="1"/>
  <c r="P516" i="1" s="1"/>
  <c r="P517" i="1"/>
  <c r="P518" i="1"/>
  <c r="M515" i="1"/>
  <c r="P515" i="1" s="1"/>
  <c r="O584" i="1"/>
  <c r="L582" i="1"/>
  <c r="O582" i="1" s="1"/>
  <c r="T646" i="1"/>
  <c r="Q643" i="1"/>
  <c r="P718" i="1"/>
  <c r="M717" i="1"/>
  <c r="P717" i="1" s="1"/>
  <c r="M715" i="1"/>
  <c r="S763" i="1"/>
  <c r="T765" i="1"/>
  <c r="S762" i="1"/>
  <c r="S22" i="1"/>
  <c r="K109" i="1"/>
  <c r="T125" i="1"/>
  <c r="P161" i="1"/>
  <c r="O165" i="1"/>
  <c r="M174" i="1"/>
  <c r="Q187" i="1"/>
  <c r="L189" i="1"/>
  <c r="O189" i="1" s="1"/>
  <c r="T190" i="1"/>
  <c r="U191" i="1"/>
  <c r="R192" i="1"/>
  <c r="U192" i="1" s="1"/>
  <c r="J199" i="1"/>
  <c r="O222" i="1"/>
  <c r="L268" i="1"/>
  <c r="R268" i="1"/>
  <c r="O287" i="1"/>
  <c r="M323" i="1"/>
  <c r="P323" i="1" s="1"/>
  <c r="M321" i="1"/>
  <c r="S323" i="1"/>
  <c r="S321" i="1"/>
  <c r="S320" i="1" s="1"/>
  <c r="U361" i="1"/>
  <c r="R358" i="1"/>
  <c r="O380" i="1"/>
  <c r="L377" i="1"/>
  <c r="T421" i="1"/>
  <c r="T498" i="1"/>
  <c r="Q495" i="1"/>
  <c r="T514" i="1"/>
  <c r="Q513" i="1"/>
  <c r="T513" i="1" s="1"/>
  <c r="M561" i="1"/>
  <c r="P561" i="1" s="1"/>
  <c r="Q645" i="1"/>
  <c r="N60" i="1"/>
  <c r="Q95" i="1"/>
  <c r="P194" i="1"/>
  <c r="R269" i="1"/>
  <c r="U269" i="1" s="1"/>
  <c r="Q283" i="1"/>
  <c r="M359" i="1"/>
  <c r="P360" i="1"/>
  <c r="R602" i="1"/>
  <c r="U602" i="1" s="1"/>
  <c r="U603" i="1"/>
  <c r="R600" i="1"/>
  <c r="R140" i="1"/>
  <c r="S142" i="1"/>
  <c r="L160" i="1"/>
  <c r="O160" i="1" s="1"/>
  <c r="O180" i="1"/>
  <c r="T181" i="1"/>
  <c r="L187" i="1"/>
  <c r="T191" i="1"/>
  <c r="P289" i="1"/>
  <c r="U290" i="1"/>
  <c r="K293" i="1"/>
  <c r="S304" i="1"/>
  <c r="L323" i="1"/>
  <c r="O323" i="1" s="1"/>
  <c r="L322" i="1"/>
  <c r="K330" i="1"/>
  <c r="R339" i="1"/>
  <c r="U339" i="1" s="1"/>
  <c r="U341" i="1"/>
  <c r="R335" i="1"/>
  <c r="P357" i="1"/>
  <c r="J374" i="1"/>
  <c r="L515" i="1"/>
  <c r="O515" i="1" s="1"/>
  <c r="O521" i="1"/>
  <c r="M163" i="1"/>
  <c r="P163" i="1" s="1"/>
  <c r="M285" i="1"/>
  <c r="R323" i="1"/>
  <c r="U323" i="1" s="1"/>
  <c r="U325" i="1"/>
  <c r="R322" i="1"/>
  <c r="O361" i="1"/>
  <c r="L358" i="1"/>
  <c r="P542" i="1"/>
  <c r="M540" i="1"/>
  <c r="P540" i="1" s="1"/>
  <c r="U560" i="1"/>
  <c r="R557" i="1"/>
  <c r="U557" i="1" s="1"/>
  <c r="K129" i="1"/>
  <c r="S139" i="1"/>
  <c r="M142" i="1"/>
  <c r="U144" i="1"/>
  <c r="Q158" i="1"/>
  <c r="S160" i="1"/>
  <c r="U177" i="1"/>
  <c r="M283" i="1"/>
  <c r="S283" i="1"/>
  <c r="Q285" i="1"/>
  <c r="T285" i="1" s="1"/>
  <c r="L309" i="1"/>
  <c r="O309" i="1" s="1"/>
  <c r="P327" i="1"/>
  <c r="M326" i="1"/>
  <c r="Q378" i="1"/>
  <c r="T378" i="1" s="1"/>
  <c r="Q377" i="1"/>
  <c r="R578" i="1"/>
  <c r="U581" i="1"/>
  <c r="Q305" i="1"/>
  <c r="M309" i="1"/>
  <c r="P309" i="1" s="1"/>
  <c r="M339" i="1"/>
  <c r="S339" i="1"/>
  <c r="K368" i="1"/>
  <c r="T383" i="1"/>
  <c r="R393" i="1"/>
  <c r="N496" i="1"/>
  <c r="N494" i="1"/>
  <c r="K512" i="1"/>
  <c r="M519" i="1"/>
  <c r="P519" i="1" s="1"/>
  <c r="P520" i="1"/>
  <c r="N537" i="1"/>
  <c r="N535" i="1"/>
  <c r="N534" i="1" s="1"/>
  <c r="T539" i="1"/>
  <c r="Q536" i="1"/>
  <c r="T536" i="1" s="1"/>
  <c r="O697" i="1"/>
  <c r="L691" i="1"/>
  <c r="O418" i="1"/>
  <c r="R419" i="1"/>
  <c r="U419" i="1" s="1"/>
  <c r="T520" i="1"/>
  <c r="Q519" i="1"/>
  <c r="T519" i="1" s="1"/>
  <c r="T559" i="1"/>
  <c r="Q556" i="1"/>
  <c r="M579" i="1"/>
  <c r="P580" i="1"/>
  <c r="O581" i="1"/>
  <c r="L578" i="1"/>
  <c r="K629" i="1"/>
  <c r="I615" i="1"/>
  <c r="K631" i="1"/>
  <c r="R643" i="1"/>
  <c r="U694" i="1"/>
  <c r="R691" i="1"/>
  <c r="L696" i="1"/>
  <c r="O696" i="1" s="1"/>
  <c r="P735" i="1"/>
  <c r="M734" i="1"/>
  <c r="P734" i="1" s="1"/>
  <c r="M729" i="1"/>
  <c r="L378" i="1"/>
  <c r="O378" i="1" s="1"/>
  <c r="R378" i="1"/>
  <c r="U378" i="1" s="1"/>
  <c r="K492" i="1"/>
  <c r="Q496" i="1"/>
  <c r="T496" i="1" s="1"/>
  <c r="P498" i="1"/>
  <c r="M496" i="1"/>
  <c r="T517" i="1"/>
  <c r="Q516" i="1"/>
  <c r="T516" i="1" s="1"/>
  <c r="M536" i="1"/>
  <c r="Q602" i="1"/>
  <c r="T602" i="1" s="1"/>
  <c r="Q601" i="1"/>
  <c r="T601" i="1" s="1"/>
  <c r="T604" i="1"/>
  <c r="O649" i="1"/>
  <c r="L648" i="1"/>
  <c r="O648" i="1" s="1"/>
  <c r="T500" i="1"/>
  <c r="R515" i="1"/>
  <c r="U515" i="1" s="1"/>
  <c r="S519" i="1"/>
  <c r="K524" i="1"/>
  <c r="M557" i="1"/>
  <c r="P557" i="1" s="1"/>
  <c r="Q561" i="1"/>
  <c r="T561" i="1" s="1"/>
  <c r="P607" i="1"/>
  <c r="M601" i="1"/>
  <c r="N617" i="1"/>
  <c r="N616" i="1" s="1"/>
  <c r="N619" i="1"/>
  <c r="O646" i="1"/>
  <c r="L645" i="1"/>
  <c r="O645" i="1" s="1"/>
  <c r="L643" i="1"/>
  <c r="S645" i="1"/>
  <c r="S643" i="1"/>
  <c r="S642" i="1" s="1"/>
  <c r="R644" i="1"/>
  <c r="U644" i="1" s="1"/>
  <c r="S693" i="1"/>
  <c r="S691" i="1"/>
  <c r="N696" i="1"/>
  <c r="N691" i="1"/>
  <c r="N690" i="1" s="1"/>
  <c r="J727" i="1"/>
  <c r="K727" i="1" s="1"/>
  <c r="K755" i="1"/>
  <c r="I475" i="1"/>
  <c r="Q537" i="1"/>
  <c r="T537" i="1" s="1"/>
  <c r="L602" i="1"/>
  <c r="L600" i="1"/>
  <c r="S600" i="1"/>
  <c r="S599" i="1" s="1"/>
  <c r="T606" i="1"/>
  <c r="Q605" i="1"/>
  <c r="T605" i="1" s="1"/>
  <c r="P694" i="1"/>
  <c r="M693" i="1"/>
  <c r="P693" i="1" s="1"/>
  <c r="M691" i="1"/>
  <c r="K503" i="1"/>
  <c r="S516" i="1"/>
  <c r="Q535" i="1"/>
  <c r="R561" i="1"/>
  <c r="U561" i="1" s="1"/>
  <c r="Q600" i="1"/>
  <c r="M600" i="1"/>
  <c r="P603" i="1"/>
  <c r="M602" i="1"/>
  <c r="T624" i="1"/>
  <c r="Q622" i="1"/>
  <c r="T622" i="1" s="1"/>
  <c r="U715" i="1"/>
  <c r="O718" i="1"/>
  <c r="L717" i="1"/>
  <c r="O717" i="1" s="1"/>
  <c r="L715" i="1"/>
  <c r="O721" i="1"/>
  <c r="L720" i="1"/>
  <c r="O720" i="1" s="1"/>
  <c r="J726" i="1"/>
  <c r="K726" i="1" s="1"/>
  <c r="K742" i="1"/>
  <c r="T764" i="1"/>
  <c r="Q763" i="1"/>
  <c r="Q761" i="1"/>
  <c r="L516" i="1"/>
  <c r="O516" i="1" s="1"/>
  <c r="R516" i="1"/>
  <c r="U516" i="1" s="1"/>
  <c r="L519" i="1"/>
  <c r="O519" i="1" s="1"/>
  <c r="R519" i="1"/>
  <c r="U519" i="1" s="1"/>
  <c r="L558" i="1"/>
  <c r="O558" i="1" s="1"/>
  <c r="R558" i="1"/>
  <c r="U558" i="1" s="1"/>
  <c r="P604" i="1"/>
  <c r="U606" i="1"/>
  <c r="L618" i="1"/>
  <c r="O618" i="1" s="1"/>
  <c r="R618" i="1"/>
  <c r="M645" i="1"/>
  <c r="P645" i="1" s="1"/>
  <c r="Q648" i="1"/>
  <c r="T648" i="1" s="1"/>
  <c r="N693" i="1"/>
  <c r="S715" i="1"/>
  <c r="U718" i="1"/>
  <c r="R717" i="1"/>
  <c r="U717" i="1" s="1"/>
  <c r="O606" i="1"/>
  <c r="P732" i="1"/>
  <c r="M731" i="1"/>
  <c r="P731" i="1" s="1"/>
  <c r="M763" i="1"/>
  <c r="P763" i="1" s="1"/>
  <c r="P765" i="1"/>
  <c r="K758" i="1"/>
  <c r="U646" i="1"/>
  <c r="R645" i="1"/>
  <c r="M648" i="1"/>
  <c r="P648" i="1" s="1"/>
  <c r="P697" i="1"/>
  <c r="M696" i="1"/>
  <c r="P696" i="1" s="1"/>
  <c r="N717" i="1"/>
  <c r="P721" i="1"/>
  <c r="M720" i="1"/>
  <c r="P720" i="1" s="1"/>
  <c r="P762" i="1"/>
  <c r="U765" i="1"/>
  <c r="R720" i="1"/>
  <c r="U720" i="1" s="1"/>
  <c r="L731" i="1"/>
  <c r="O731" i="1" s="1"/>
  <c r="R731" i="1"/>
  <c r="Q766" i="1"/>
  <c r="T766" i="1" s="1"/>
  <c r="K772" i="1"/>
  <c r="L763" i="1"/>
  <c r="O763" i="1" s="1"/>
  <c r="R763" i="1"/>
  <c r="L766" i="1"/>
  <c r="O766" i="1" s="1"/>
  <c r="R766" i="1"/>
  <c r="U766" i="1" s="1"/>
  <c r="P768" i="1"/>
  <c r="L72" i="14" l="1"/>
  <c r="O72" i="14" s="1"/>
  <c r="P61" i="4"/>
  <c r="T189" i="13"/>
  <c r="O268" i="14"/>
  <c r="P266" i="14"/>
  <c r="R72" i="13"/>
  <c r="U72" i="13" s="1"/>
  <c r="K374" i="15"/>
  <c r="T176" i="1"/>
  <c r="P415" i="13"/>
  <c r="L94" i="12"/>
  <c r="O94" i="12" s="1"/>
  <c r="U378" i="13"/>
  <c r="Q157" i="13"/>
  <c r="T157" i="13" s="1"/>
  <c r="M157" i="13"/>
  <c r="P157" i="13" s="1"/>
  <c r="P46" i="15"/>
  <c r="P335" i="15"/>
  <c r="O61" i="13"/>
  <c r="P175" i="13"/>
  <c r="M513" i="6"/>
  <c r="P513" i="6" s="1"/>
  <c r="R173" i="13"/>
  <c r="U173" i="13" s="1"/>
  <c r="U72" i="15"/>
  <c r="P599" i="13"/>
  <c r="R642" i="14"/>
  <c r="U642" i="14" s="1"/>
  <c r="U377" i="15"/>
  <c r="Q392" i="13"/>
  <c r="T392" i="13" s="1"/>
  <c r="P306" i="15"/>
  <c r="O358" i="15"/>
  <c r="T377" i="14"/>
  <c r="N356" i="15"/>
  <c r="K701" i="9"/>
  <c r="P268" i="14"/>
  <c r="P284" i="15"/>
  <c r="L534" i="9"/>
  <c r="O534" i="9" s="1"/>
  <c r="O175" i="15"/>
  <c r="U495" i="15"/>
  <c r="O46" i="15"/>
  <c r="O96" i="13"/>
  <c r="U305" i="13"/>
  <c r="U416" i="13"/>
  <c r="P72" i="15"/>
  <c r="L232" i="14"/>
  <c r="K374" i="11"/>
  <c r="T618" i="12"/>
  <c r="P269" i="14"/>
  <c r="U763" i="15"/>
  <c r="U269" i="8"/>
  <c r="L72" i="13"/>
  <c r="O72" i="13" s="1"/>
  <c r="U763" i="10"/>
  <c r="I71" i="13"/>
  <c r="K71" i="13" s="1"/>
  <c r="U690" i="13"/>
  <c r="S616" i="14"/>
  <c r="U616" i="14" s="1"/>
  <c r="M282" i="12"/>
  <c r="P282" i="12" s="1"/>
  <c r="I231" i="13"/>
  <c r="I185" i="13" s="1"/>
  <c r="K185" i="13" s="1"/>
  <c r="T618" i="14"/>
  <c r="U97" i="14"/>
  <c r="O61" i="11"/>
  <c r="K701" i="14"/>
  <c r="P336" i="1"/>
  <c r="O61" i="10"/>
  <c r="R760" i="11"/>
  <c r="U760" i="11" s="1"/>
  <c r="R616" i="13"/>
  <c r="U616" i="13" s="1"/>
  <c r="U763" i="12"/>
  <c r="O46" i="14"/>
  <c r="Q72" i="14"/>
  <c r="T72" i="14" s="1"/>
  <c r="Q599" i="8"/>
  <c r="T599" i="8" s="1"/>
  <c r="U693" i="15"/>
  <c r="P75" i="15"/>
  <c r="P47" i="15"/>
  <c r="T117" i="15"/>
  <c r="Q599" i="9"/>
  <c r="T599" i="9" s="1"/>
  <c r="O46" i="11"/>
  <c r="T75" i="15"/>
  <c r="R392" i="15"/>
  <c r="U392" i="15" s="1"/>
  <c r="P175" i="12"/>
  <c r="L555" i="15"/>
  <c r="O555" i="15" s="1"/>
  <c r="Q760" i="14"/>
  <c r="T760" i="14" s="1"/>
  <c r="P269" i="8"/>
  <c r="P377" i="9"/>
  <c r="P176" i="13"/>
  <c r="T305" i="13"/>
  <c r="T378" i="14"/>
  <c r="L117" i="15"/>
  <c r="O117" i="15" s="1"/>
  <c r="I70" i="15"/>
  <c r="K70" i="15" s="1"/>
  <c r="U75" i="15"/>
  <c r="U186" i="11"/>
  <c r="U188" i="11"/>
  <c r="U139" i="13"/>
  <c r="O335" i="13"/>
  <c r="T728" i="14"/>
  <c r="O266" i="15"/>
  <c r="U141" i="15"/>
  <c r="U119" i="15"/>
  <c r="L44" i="15"/>
  <c r="U306" i="15"/>
  <c r="U692" i="15"/>
  <c r="T644" i="7"/>
  <c r="O59" i="14"/>
  <c r="P61" i="15"/>
  <c r="P186" i="14"/>
  <c r="M117" i="14"/>
  <c r="P117" i="14" s="1"/>
  <c r="O96" i="15"/>
  <c r="P578" i="15"/>
  <c r="T305" i="15"/>
  <c r="P188" i="15"/>
  <c r="T176" i="15"/>
  <c r="T760" i="15"/>
  <c r="O96" i="9"/>
  <c r="P189" i="13"/>
  <c r="M24" i="15"/>
  <c r="P24" i="15" s="1"/>
  <c r="U619" i="15"/>
  <c r="P189" i="15"/>
  <c r="T306" i="15"/>
  <c r="O356" i="15"/>
  <c r="Q599" i="15"/>
  <c r="T599" i="15" s="1"/>
  <c r="P62" i="15"/>
  <c r="Q642" i="13"/>
  <c r="T642" i="13" s="1"/>
  <c r="P173" i="14"/>
  <c r="P557" i="14"/>
  <c r="P96" i="14"/>
  <c r="P141" i="15"/>
  <c r="U97" i="15"/>
  <c r="O377" i="15"/>
  <c r="S266" i="15"/>
  <c r="U266" i="15" s="1"/>
  <c r="T268" i="15"/>
  <c r="S616" i="8"/>
  <c r="U616" i="8" s="1"/>
  <c r="R94" i="10"/>
  <c r="U94" i="10" s="1"/>
  <c r="P74" i="12"/>
  <c r="Q173" i="14"/>
  <c r="T173" i="14" s="1"/>
  <c r="T416" i="14"/>
  <c r="P416" i="14"/>
  <c r="U394" i="14"/>
  <c r="M320" i="14"/>
  <c r="P320" i="14" s="1"/>
  <c r="P305" i="15"/>
  <c r="R413" i="15"/>
  <c r="U413" i="15" s="1"/>
  <c r="T303" i="15"/>
  <c r="T375" i="6"/>
  <c r="U305" i="9"/>
  <c r="M375" i="14"/>
  <c r="P375" i="14" s="1"/>
  <c r="R375" i="14"/>
  <c r="U375" i="14" s="1"/>
  <c r="P160" i="15"/>
  <c r="P268" i="15"/>
  <c r="T416" i="15"/>
  <c r="P495" i="15"/>
  <c r="K332" i="15"/>
  <c r="T394" i="15"/>
  <c r="P413" i="15"/>
  <c r="L599" i="15"/>
  <c r="O599" i="15" s="1"/>
  <c r="T495" i="15"/>
  <c r="L173" i="15"/>
  <c r="O173" i="15" s="1"/>
  <c r="P322" i="15"/>
  <c r="U496" i="15"/>
  <c r="O96" i="14"/>
  <c r="K83" i="15"/>
  <c r="T496" i="15"/>
  <c r="T94" i="15"/>
  <c r="P303" i="15"/>
  <c r="U269" i="15"/>
  <c r="U496" i="13"/>
  <c r="Q599" i="13"/>
  <c r="T599" i="13" s="1"/>
  <c r="M493" i="14"/>
  <c r="P493" i="14" s="1"/>
  <c r="S375" i="14"/>
  <c r="T375" i="14" s="1"/>
  <c r="O358" i="14"/>
  <c r="P358" i="14"/>
  <c r="K374" i="14"/>
  <c r="Q599" i="14"/>
  <c r="T599" i="14" s="1"/>
  <c r="T692" i="14"/>
  <c r="U74" i="15"/>
  <c r="S139" i="15"/>
  <c r="T139" i="15" s="1"/>
  <c r="I231" i="15"/>
  <c r="O268" i="15"/>
  <c r="O413" i="15"/>
  <c r="Q616" i="15"/>
  <c r="T616" i="15" s="1"/>
  <c r="T493" i="15"/>
  <c r="K701" i="13"/>
  <c r="T728" i="15"/>
  <c r="O188" i="15"/>
  <c r="L186" i="15"/>
  <c r="O186" i="15" s="1"/>
  <c r="T269" i="15"/>
  <c r="O176" i="13"/>
  <c r="R72" i="14"/>
  <c r="U72" i="14" s="1"/>
  <c r="P359" i="15"/>
  <c r="U690" i="14"/>
  <c r="T762" i="15"/>
  <c r="T730" i="15"/>
  <c r="U493" i="15"/>
  <c r="P94" i="13"/>
  <c r="T141" i="15"/>
  <c r="N59" i="15"/>
  <c r="P59" i="15" s="1"/>
  <c r="P139" i="15"/>
  <c r="O335" i="15"/>
  <c r="R157" i="15"/>
  <c r="U157" i="15" s="1"/>
  <c r="L513" i="15"/>
  <c r="O513" i="15" s="1"/>
  <c r="U762" i="15"/>
  <c r="O74" i="15"/>
  <c r="L72" i="15"/>
  <c r="O72" i="15" s="1"/>
  <c r="P74" i="15"/>
  <c r="T97" i="15"/>
  <c r="O306" i="15"/>
  <c r="O413" i="13"/>
  <c r="T119" i="15"/>
  <c r="R599" i="13"/>
  <c r="U599" i="13" s="1"/>
  <c r="R117" i="15"/>
  <c r="U117" i="15" s="1"/>
  <c r="L139" i="15"/>
  <c r="O139" i="15" s="1"/>
  <c r="O160" i="15"/>
  <c r="M320" i="15"/>
  <c r="P320" i="15" s="1"/>
  <c r="U730" i="15"/>
  <c r="M186" i="15"/>
  <c r="P186" i="15" s="1"/>
  <c r="T188" i="11"/>
  <c r="P175" i="15"/>
  <c r="M173" i="15"/>
  <c r="P173" i="15" s="1"/>
  <c r="T377" i="15"/>
  <c r="Q186" i="15"/>
  <c r="T186" i="15" s="1"/>
  <c r="T188" i="15"/>
  <c r="M117" i="9"/>
  <c r="P117" i="9" s="1"/>
  <c r="L576" i="11"/>
  <c r="O576" i="11" s="1"/>
  <c r="T119" i="13"/>
  <c r="P24" i="13"/>
  <c r="O268" i="13"/>
  <c r="T616" i="13"/>
  <c r="T186" i="13"/>
  <c r="L576" i="13"/>
  <c r="O576" i="13" s="1"/>
  <c r="R493" i="14"/>
  <c r="U493" i="14" s="1"/>
  <c r="T119" i="14"/>
  <c r="P335" i="14"/>
  <c r="T690" i="14"/>
  <c r="U692" i="14"/>
  <c r="P23" i="15"/>
  <c r="M20" i="15"/>
  <c r="M44" i="15"/>
  <c r="L282" i="15"/>
  <c r="O284" i="15"/>
  <c r="L303" i="15"/>
  <c r="O303" i="15" s="1"/>
  <c r="O305" i="15"/>
  <c r="M576" i="15"/>
  <c r="P576" i="15" s="1"/>
  <c r="L232" i="15"/>
  <c r="O243" i="15"/>
  <c r="N493" i="15"/>
  <c r="M555" i="15"/>
  <c r="P555" i="15" s="1"/>
  <c r="N282" i="15"/>
  <c r="P282" i="15" s="1"/>
  <c r="R642" i="15"/>
  <c r="U642" i="15" s="1"/>
  <c r="U644" i="15"/>
  <c r="U728" i="15"/>
  <c r="P159" i="15"/>
  <c r="M157" i="15"/>
  <c r="P157" i="15" s="1"/>
  <c r="U94" i="15"/>
  <c r="P266" i="15"/>
  <c r="T96" i="15"/>
  <c r="U96" i="15"/>
  <c r="O44" i="15"/>
  <c r="U305" i="15"/>
  <c r="R303" i="15"/>
  <c r="U303" i="15" s="1"/>
  <c r="I412" i="15"/>
  <c r="K412" i="15" s="1"/>
  <c r="K423" i="15"/>
  <c r="L493" i="14"/>
  <c r="O493" i="14" s="1"/>
  <c r="Q20" i="15"/>
  <c r="T23" i="15"/>
  <c r="Q21" i="15"/>
  <c r="M356" i="15"/>
  <c r="P358" i="15"/>
  <c r="U269" i="12"/>
  <c r="P335" i="12"/>
  <c r="P141" i="12"/>
  <c r="K242" i="13"/>
  <c r="T306" i="13"/>
  <c r="S20" i="15"/>
  <c r="S18" i="15" s="1"/>
  <c r="R186" i="15"/>
  <c r="U186" i="15" s="1"/>
  <c r="U188" i="15"/>
  <c r="M375" i="15"/>
  <c r="P375" i="15" s="1"/>
  <c r="P601" i="15"/>
  <c r="M599" i="15"/>
  <c r="P599" i="15" s="1"/>
  <c r="T693" i="15"/>
  <c r="Q375" i="10"/>
  <c r="T375" i="10" s="1"/>
  <c r="Q24" i="15"/>
  <c r="T24" i="15" s="1"/>
  <c r="T26" i="15"/>
  <c r="T692" i="15"/>
  <c r="S728" i="7"/>
  <c r="T728" i="7" s="1"/>
  <c r="M72" i="11"/>
  <c r="P72" i="11" s="1"/>
  <c r="P601" i="13"/>
  <c r="U96" i="14"/>
  <c r="L266" i="14"/>
  <c r="O266" i="14" s="1"/>
  <c r="O269" i="14"/>
  <c r="U416" i="14"/>
  <c r="O416" i="14"/>
  <c r="T730" i="14"/>
  <c r="L20" i="15"/>
  <c r="O23" i="15"/>
  <c r="L59" i="15"/>
  <c r="O61" i="15"/>
  <c r="T74" i="15"/>
  <c r="Q72" i="15"/>
  <c r="T72" i="15" s="1"/>
  <c r="O159" i="15"/>
  <c r="S21" i="15"/>
  <c r="U21" i="15" s="1"/>
  <c r="Q157" i="15"/>
  <c r="T157" i="15" s="1"/>
  <c r="P96" i="15"/>
  <c r="R24" i="15"/>
  <c r="U24" i="15" s="1"/>
  <c r="N94" i="15"/>
  <c r="O94" i="15" s="1"/>
  <c r="O415" i="15"/>
  <c r="M534" i="15"/>
  <c r="P534" i="15" s="1"/>
  <c r="O157" i="15"/>
  <c r="S375" i="15"/>
  <c r="T375" i="15" s="1"/>
  <c r="U760" i="15"/>
  <c r="O186" i="13"/>
  <c r="L24" i="15"/>
  <c r="O24" i="15" s="1"/>
  <c r="U120" i="7"/>
  <c r="M320" i="9"/>
  <c r="P320" i="9" s="1"/>
  <c r="O46" i="10"/>
  <c r="L72" i="11"/>
  <c r="O72" i="11" s="1"/>
  <c r="P578" i="12"/>
  <c r="M157" i="14"/>
  <c r="P157" i="14" s="1"/>
  <c r="M513" i="14"/>
  <c r="P513" i="14" s="1"/>
  <c r="L599" i="14"/>
  <c r="O599" i="14" s="1"/>
  <c r="R20" i="15"/>
  <c r="R18" i="15" s="1"/>
  <c r="U23" i="15"/>
  <c r="N21" i="15"/>
  <c r="O21" i="15" s="1"/>
  <c r="N20" i="15"/>
  <c r="N18" i="15" s="1"/>
  <c r="U19" i="15"/>
  <c r="U142" i="15"/>
  <c r="R173" i="15"/>
  <c r="U173" i="15" s="1"/>
  <c r="P119" i="15"/>
  <c r="M117" i="15"/>
  <c r="P117" i="15" s="1"/>
  <c r="N333" i="15"/>
  <c r="O322" i="15"/>
  <c r="L320" i="15"/>
  <c r="O320" i="15" s="1"/>
  <c r="M513" i="15"/>
  <c r="P513" i="15" s="1"/>
  <c r="O578" i="15"/>
  <c r="L576" i="15"/>
  <c r="O576" i="15" s="1"/>
  <c r="O495" i="15"/>
  <c r="R599" i="15"/>
  <c r="U599" i="15" s="1"/>
  <c r="P415" i="15"/>
  <c r="L534" i="15"/>
  <c r="O534" i="15" s="1"/>
  <c r="O536" i="15"/>
  <c r="S690" i="15"/>
  <c r="O578" i="14"/>
  <c r="L576" i="14"/>
  <c r="O576" i="14" s="1"/>
  <c r="U375" i="6"/>
  <c r="P415" i="11"/>
  <c r="Q760" i="11"/>
  <c r="T760" i="11" s="1"/>
  <c r="P26" i="12"/>
  <c r="T141" i="12"/>
  <c r="M555" i="13"/>
  <c r="P555" i="13" s="1"/>
  <c r="M534" i="13"/>
  <c r="P534" i="13" s="1"/>
  <c r="L117" i="13"/>
  <c r="O117" i="13" s="1"/>
  <c r="Q117" i="14"/>
  <c r="T117" i="14" s="1"/>
  <c r="R599" i="14"/>
  <c r="U599" i="14" s="1"/>
  <c r="K374" i="13"/>
  <c r="T377" i="6"/>
  <c r="T119" i="12"/>
  <c r="M94" i="12"/>
  <c r="P94" i="12" s="1"/>
  <c r="Q760" i="12"/>
  <c r="T760" i="12" s="1"/>
  <c r="M576" i="13"/>
  <c r="P576" i="13" s="1"/>
  <c r="P358" i="13"/>
  <c r="P94" i="14"/>
  <c r="L356" i="14"/>
  <c r="O356" i="14" s="1"/>
  <c r="M599" i="14"/>
  <c r="P599" i="14" s="1"/>
  <c r="P175" i="14"/>
  <c r="R72" i="7"/>
  <c r="U72" i="7" s="1"/>
  <c r="O415" i="11"/>
  <c r="P65" i="13"/>
  <c r="T496" i="13"/>
  <c r="M513" i="13"/>
  <c r="P513" i="13" s="1"/>
  <c r="P46" i="14"/>
  <c r="U188" i="13"/>
  <c r="L320" i="14"/>
  <c r="O320" i="14" s="1"/>
  <c r="S266" i="14"/>
  <c r="T266" i="14" s="1"/>
  <c r="P356" i="14"/>
  <c r="R760" i="10"/>
  <c r="U760" i="10" s="1"/>
  <c r="T159" i="11"/>
  <c r="U268" i="11"/>
  <c r="O46" i="13"/>
  <c r="O188" i="13"/>
  <c r="P61" i="14"/>
  <c r="S20" i="14"/>
  <c r="S18" i="14" s="1"/>
  <c r="U268" i="14"/>
  <c r="Q139" i="14"/>
  <c r="T139" i="14" s="1"/>
  <c r="R139" i="14"/>
  <c r="U139" i="14" s="1"/>
  <c r="R266" i="14"/>
  <c r="U266" i="14" s="1"/>
  <c r="L139" i="14"/>
  <c r="O139" i="14" s="1"/>
  <c r="M534" i="14"/>
  <c r="P534" i="14" s="1"/>
  <c r="L513" i="14"/>
  <c r="O513" i="14" s="1"/>
  <c r="M282" i="14"/>
  <c r="P282" i="14" s="1"/>
  <c r="T619" i="13"/>
  <c r="U619" i="14"/>
  <c r="P335" i="9"/>
  <c r="P333" i="11"/>
  <c r="K701" i="12"/>
  <c r="P186" i="13"/>
  <c r="U493" i="13"/>
  <c r="P333" i="12"/>
  <c r="T188" i="13"/>
  <c r="T416" i="13"/>
  <c r="N44" i="14"/>
  <c r="O44" i="14" s="1"/>
  <c r="L555" i="14"/>
  <c r="O555" i="14" s="1"/>
  <c r="O305" i="14"/>
  <c r="L375" i="14"/>
  <c r="O375" i="14" s="1"/>
  <c r="R760" i="14"/>
  <c r="U760" i="14" s="1"/>
  <c r="U186" i="14"/>
  <c r="S21" i="14"/>
  <c r="U21" i="14" s="1"/>
  <c r="R94" i="14"/>
  <c r="U94" i="14" s="1"/>
  <c r="M44" i="14"/>
  <c r="S303" i="14"/>
  <c r="T305" i="14"/>
  <c r="T266" i="6"/>
  <c r="P303" i="9"/>
  <c r="M303" i="11"/>
  <c r="P303" i="11" s="1"/>
  <c r="M555" i="11"/>
  <c r="P555" i="11" s="1"/>
  <c r="O26" i="12"/>
  <c r="M320" i="12"/>
  <c r="P320" i="12" s="1"/>
  <c r="R642" i="12"/>
  <c r="U642" i="12" s="1"/>
  <c r="Q94" i="12"/>
  <c r="T94" i="12" s="1"/>
  <c r="O601" i="12"/>
  <c r="S375" i="12"/>
  <c r="T375" i="12" s="1"/>
  <c r="T117" i="13"/>
  <c r="L157" i="13"/>
  <c r="O157" i="13" s="1"/>
  <c r="L513" i="13"/>
  <c r="O513" i="13" s="1"/>
  <c r="P188" i="13"/>
  <c r="Q173" i="13"/>
  <c r="T173" i="13" s="1"/>
  <c r="O97" i="14"/>
  <c r="T189" i="14"/>
  <c r="O188" i="14"/>
  <c r="I71" i="14"/>
  <c r="K71" i="14" s="1"/>
  <c r="K83" i="14"/>
  <c r="O335" i="14"/>
  <c r="I231" i="14"/>
  <c r="K242" i="14"/>
  <c r="O61" i="14"/>
  <c r="K332" i="14"/>
  <c r="O159" i="14"/>
  <c r="L157" i="14"/>
  <c r="O157" i="14" s="1"/>
  <c r="R24" i="14"/>
  <c r="U24" i="14" s="1"/>
  <c r="L24" i="14"/>
  <c r="O24" i="14" s="1"/>
  <c r="L282" i="14"/>
  <c r="O282" i="14" s="1"/>
  <c r="O284" i="14"/>
  <c r="O336" i="14"/>
  <c r="O415" i="14"/>
  <c r="L413" i="14"/>
  <c r="O413" i="14" s="1"/>
  <c r="R728" i="14"/>
  <c r="U728" i="14" s="1"/>
  <c r="U730" i="14"/>
  <c r="M303" i="14"/>
  <c r="P303" i="14" s="1"/>
  <c r="K701" i="11"/>
  <c r="U159" i="13"/>
  <c r="R157" i="13"/>
  <c r="U157" i="13" s="1"/>
  <c r="O377" i="7"/>
  <c r="O305" i="9"/>
  <c r="R157" i="11"/>
  <c r="U157" i="11" s="1"/>
  <c r="O175" i="11"/>
  <c r="R760" i="12"/>
  <c r="U760" i="12" s="1"/>
  <c r="Q173" i="12"/>
  <c r="T173" i="12" s="1"/>
  <c r="R303" i="13"/>
  <c r="U303" i="13" s="1"/>
  <c r="T378" i="13"/>
  <c r="R186" i="13"/>
  <c r="U186" i="13" s="1"/>
  <c r="M117" i="13"/>
  <c r="P117" i="13" s="1"/>
  <c r="O19" i="14"/>
  <c r="M24" i="14"/>
  <c r="P24" i="14" s="1"/>
  <c r="T188" i="14"/>
  <c r="Q186" i="14"/>
  <c r="T186" i="14" s="1"/>
  <c r="M72" i="14"/>
  <c r="P72" i="14" s="1"/>
  <c r="O175" i="14"/>
  <c r="L173" i="14"/>
  <c r="O173" i="14" s="1"/>
  <c r="L94" i="14"/>
  <c r="K82" i="14"/>
  <c r="I70" i="14"/>
  <c r="K70" i="14" s="1"/>
  <c r="P141" i="14"/>
  <c r="M139" i="14"/>
  <c r="P139" i="14" s="1"/>
  <c r="Q616" i="14"/>
  <c r="M413" i="14"/>
  <c r="P413" i="14" s="1"/>
  <c r="P415" i="14"/>
  <c r="P23" i="14"/>
  <c r="M20" i="14"/>
  <c r="M18" i="14" s="1"/>
  <c r="O186" i="14"/>
  <c r="O536" i="14"/>
  <c r="L534" i="14"/>
  <c r="O534" i="14" s="1"/>
  <c r="K701" i="4"/>
  <c r="O322" i="11"/>
  <c r="P358" i="12"/>
  <c r="M173" i="12"/>
  <c r="P173" i="12" s="1"/>
  <c r="Q139" i="12"/>
  <c r="T139" i="12" s="1"/>
  <c r="U618" i="12"/>
  <c r="U377" i="12"/>
  <c r="P536" i="12"/>
  <c r="P97" i="13"/>
  <c r="P141" i="13"/>
  <c r="M282" i="13"/>
  <c r="P282" i="13" s="1"/>
  <c r="O359" i="13"/>
  <c r="L20" i="14"/>
  <c r="L18" i="14" s="1"/>
  <c r="O23" i="14"/>
  <c r="Q94" i="14"/>
  <c r="T94" i="14" s="1"/>
  <c r="T96" i="14"/>
  <c r="U19" i="14"/>
  <c r="P19" i="14"/>
  <c r="P188" i="14"/>
  <c r="U119" i="14"/>
  <c r="R117" i="14"/>
  <c r="U117" i="14" s="1"/>
  <c r="O359" i="14"/>
  <c r="T159" i="14"/>
  <c r="Q157" i="14"/>
  <c r="T157" i="14" s="1"/>
  <c r="M21" i="14"/>
  <c r="P268" i="12"/>
  <c r="P46" i="8"/>
  <c r="O62" i="9"/>
  <c r="T269" i="10"/>
  <c r="U96" i="13"/>
  <c r="L94" i="13"/>
  <c r="O94" i="13" s="1"/>
  <c r="Q20" i="14"/>
  <c r="T23" i="14"/>
  <c r="Q21" i="14"/>
  <c r="R20" i="14"/>
  <c r="R18" i="14" s="1"/>
  <c r="U23" i="14"/>
  <c r="T19" i="14"/>
  <c r="Q18" i="14"/>
  <c r="N21" i="14"/>
  <c r="O21" i="14" s="1"/>
  <c r="N20" i="14"/>
  <c r="N18" i="14" s="1"/>
  <c r="M59" i="14"/>
  <c r="P59" i="14" s="1"/>
  <c r="T26" i="14"/>
  <c r="Q24" i="14"/>
  <c r="T24" i="14" s="1"/>
  <c r="U188" i="14"/>
  <c r="U120" i="14"/>
  <c r="O119" i="14"/>
  <c r="L117" i="14"/>
  <c r="O117" i="14" s="1"/>
  <c r="L333" i="14"/>
  <c r="O333" i="14" s="1"/>
  <c r="P333" i="14"/>
  <c r="T495" i="14"/>
  <c r="Q493" i="14"/>
  <c r="T493" i="14" s="1"/>
  <c r="M576" i="14"/>
  <c r="P576" i="14" s="1"/>
  <c r="T731" i="14"/>
  <c r="P496" i="13"/>
  <c r="O186" i="12"/>
  <c r="L139" i="13"/>
  <c r="O139" i="13" s="1"/>
  <c r="O141" i="13"/>
  <c r="U120" i="10"/>
  <c r="U268" i="10"/>
  <c r="L555" i="11"/>
  <c r="O555" i="11" s="1"/>
  <c r="S413" i="11"/>
  <c r="T413" i="11" s="1"/>
  <c r="O269" i="12"/>
  <c r="O142" i="13"/>
  <c r="M173" i="13"/>
  <c r="P173" i="13" s="1"/>
  <c r="L333" i="13"/>
  <c r="O333" i="13" s="1"/>
  <c r="U495" i="13"/>
  <c r="U306" i="13"/>
  <c r="L375" i="13"/>
  <c r="O375" i="13" s="1"/>
  <c r="K374" i="12"/>
  <c r="M356" i="13"/>
  <c r="P356" i="13" s="1"/>
  <c r="U692" i="13"/>
  <c r="Q493" i="7"/>
  <c r="T493" i="7" s="1"/>
  <c r="M413" i="10"/>
  <c r="P413" i="10" s="1"/>
  <c r="L94" i="11"/>
  <c r="O94" i="11" s="1"/>
  <c r="P189" i="11"/>
  <c r="S616" i="11"/>
  <c r="U616" i="11" s="1"/>
  <c r="N20" i="12"/>
  <c r="N18" i="12" s="1"/>
  <c r="M24" i="12"/>
  <c r="P24" i="12" s="1"/>
  <c r="L555" i="12"/>
  <c r="O555" i="12" s="1"/>
  <c r="O333" i="12"/>
  <c r="P96" i="13"/>
  <c r="P142" i="13"/>
  <c r="O269" i="13"/>
  <c r="P269" i="13"/>
  <c r="L534" i="13"/>
  <c r="O534" i="13" s="1"/>
  <c r="R375" i="13"/>
  <c r="U375" i="13" s="1"/>
  <c r="M413" i="13"/>
  <c r="P413" i="13" s="1"/>
  <c r="U730" i="9"/>
  <c r="M413" i="12"/>
  <c r="P413" i="12" s="1"/>
  <c r="Q72" i="13"/>
  <c r="T72" i="13" s="1"/>
  <c r="P96" i="9"/>
  <c r="U141" i="13"/>
  <c r="P601" i="12"/>
  <c r="O415" i="13"/>
  <c r="L576" i="12"/>
  <c r="O576" i="12" s="1"/>
  <c r="O97" i="13"/>
  <c r="T303" i="13"/>
  <c r="L21" i="13"/>
  <c r="L20" i="13"/>
  <c r="O23" i="13"/>
  <c r="T141" i="13"/>
  <c r="Q139" i="13"/>
  <c r="T139" i="13" s="1"/>
  <c r="P19" i="13"/>
  <c r="L24" i="13"/>
  <c r="O24" i="13" s="1"/>
  <c r="O26" i="13"/>
  <c r="T26" i="13"/>
  <c r="Q24" i="13"/>
  <c r="T24" i="13" s="1"/>
  <c r="M333" i="13"/>
  <c r="P333" i="13" s="1"/>
  <c r="P335" i="13"/>
  <c r="P495" i="13"/>
  <c r="M493" i="13"/>
  <c r="P493" i="13" s="1"/>
  <c r="U728" i="13"/>
  <c r="P26" i="8"/>
  <c r="M266" i="12"/>
  <c r="P266" i="12" s="1"/>
  <c r="T731" i="12"/>
  <c r="R21" i="13"/>
  <c r="R20" i="13"/>
  <c r="U23" i="13"/>
  <c r="Q94" i="13"/>
  <c r="T94" i="13" s="1"/>
  <c r="T96" i="13"/>
  <c r="K82" i="13"/>
  <c r="I70" i="13"/>
  <c r="K70" i="13" s="1"/>
  <c r="O322" i="13"/>
  <c r="L320" i="13"/>
  <c r="O320" i="13" s="1"/>
  <c r="L232" i="13"/>
  <c r="O243" i="13"/>
  <c r="U269" i="13"/>
  <c r="O493" i="13"/>
  <c r="U601" i="12"/>
  <c r="R599" i="12"/>
  <c r="U599" i="12" s="1"/>
  <c r="T495" i="13"/>
  <c r="U762" i="13"/>
  <c r="R760" i="13"/>
  <c r="U760" i="13" s="1"/>
  <c r="O188" i="4"/>
  <c r="O46" i="7"/>
  <c r="U730" i="7"/>
  <c r="K332" i="8"/>
  <c r="M94" i="9"/>
  <c r="P94" i="9" s="1"/>
  <c r="M534" i="10"/>
  <c r="P534" i="10" s="1"/>
  <c r="T303" i="11"/>
  <c r="M413" i="11"/>
  <c r="P413" i="11" s="1"/>
  <c r="P416" i="11"/>
  <c r="T378" i="11"/>
  <c r="L534" i="11"/>
  <c r="O534" i="11" s="1"/>
  <c r="U415" i="11"/>
  <c r="I412" i="11"/>
  <c r="K412" i="11" s="1"/>
  <c r="T692" i="12"/>
  <c r="O335" i="12"/>
  <c r="M493" i="12"/>
  <c r="P493" i="12" s="1"/>
  <c r="P336" i="12"/>
  <c r="O189" i="12"/>
  <c r="U692" i="12"/>
  <c r="O188" i="12"/>
  <c r="Q20" i="13"/>
  <c r="T23" i="13"/>
  <c r="Q21" i="13"/>
  <c r="M44" i="13"/>
  <c r="P46" i="13"/>
  <c r="T19" i="13"/>
  <c r="Q18" i="13"/>
  <c r="M303" i="13"/>
  <c r="P303" i="13" s="1"/>
  <c r="L282" i="13"/>
  <c r="O282" i="13" s="1"/>
  <c r="L303" i="13"/>
  <c r="O303" i="13" s="1"/>
  <c r="N59" i="13"/>
  <c r="O59" i="13" s="1"/>
  <c r="I412" i="12"/>
  <c r="K412" i="12" s="1"/>
  <c r="K423" i="12"/>
  <c r="U97" i="9"/>
  <c r="P269" i="9"/>
  <c r="U616" i="9"/>
  <c r="T616" i="9"/>
  <c r="R72" i="10"/>
  <c r="U72" i="10" s="1"/>
  <c r="U119" i="10"/>
  <c r="T189" i="11"/>
  <c r="O176" i="11"/>
  <c r="T268" i="11"/>
  <c r="T117" i="11"/>
  <c r="N21" i="12"/>
  <c r="O21" i="12" s="1"/>
  <c r="O139" i="12"/>
  <c r="M555" i="12"/>
  <c r="P555" i="12" s="1"/>
  <c r="M59" i="13"/>
  <c r="P61" i="13"/>
  <c r="P23" i="13"/>
  <c r="M20" i="13"/>
  <c r="U119" i="13"/>
  <c r="R117" i="13"/>
  <c r="U117" i="13" s="1"/>
  <c r="N44" i="13"/>
  <c r="O44" i="13" s="1"/>
  <c r="R392" i="13"/>
  <c r="U392" i="13" s="1"/>
  <c r="U394" i="13"/>
  <c r="S413" i="13"/>
  <c r="L266" i="13"/>
  <c r="O266" i="13" s="1"/>
  <c r="O495" i="13"/>
  <c r="T692" i="13"/>
  <c r="K374" i="6"/>
  <c r="L320" i="7"/>
  <c r="O320" i="7" s="1"/>
  <c r="M534" i="9"/>
  <c r="P534" i="9" s="1"/>
  <c r="L320" i="10"/>
  <c r="O320" i="10" s="1"/>
  <c r="Q139" i="10"/>
  <c r="T139" i="10" s="1"/>
  <c r="P305" i="9"/>
  <c r="R72" i="11"/>
  <c r="U72" i="11" s="1"/>
  <c r="O266" i="12"/>
  <c r="O268" i="12"/>
  <c r="U139" i="12"/>
  <c r="M72" i="13"/>
  <c r="P72" i="13" s="1"/>
  <c r="P74" i="13"/>
  <c r="S20" i="13"/>
  <c r="S18" i="13" s="1"/>
  <c r="S21" i="13"/>
  <c r="R24" i="13"/>
  <c r="U24" i="13" s="1"/>
  <c r="U26" i="13"/>
  <c r="P26" i="13"/>
  <c r="U189" i="13"/>
  <c r="L356" i="13"/>
  <c r="O356" i="13" s="1"/>
  <c r="O358" i="13"/>
  <c r="U730" i="13"/>
  <c r="T690" i="13"/>
  <c r="M303" i="6"/>
  <c r="P303" i="6" s="1"/>
  <c r="M555" i="8"/>
  <c r="P555" i="8" s="1"/>
  <c r="T120" i="9"/>
  <c r="R728" i="9"/>
  <c r="U728" i="9" s="1"/>
  <c r="M576" i="10"/>
  <c r="P576" i="10" s="1"/>
  <c r="L72" i="10"/>
  <c r="O72" i="10" s="1"/>
  <c r="M493" i="10"/>
  <c r="P493" i="10" s="1"/>
  <c r="K374" i="10"/>
  <c r="U119" i="11"/>
  <c r="T119" i="11"/>
  <c r="O336" i="12"/>
  <c r="R616" i="12"/>
  <c r="U616" i="12" s="1"/>
  <c r="L157" i="12"/>
  <c r="O157" i="12" s="1"/>
  <c r="N21" i="13"/>
  <c r="P21" i="13" s="1"/>
  <c r="N20" i="13"/>
  <c r="N18" i="13" s="1"/>
  <c r="U120" i="13"/>
  <c r="P139" i="13"/>
  <c r="R94" i="13"/>
  <c r="U94" i="13" s="1"/>
  <c r="P268" i="13"/>
  <c r="M266" i="13"/>
  <c r="P266" i="13" s="1"/>
  <c r="M320" i="13"/>
  <c r="P320" i="13" s="1"/>
  <c r="P322" i="13"/>
  <c r="Q375" i="13"/>
  <c r="T375" i="13" s="1"/>
  <c r="I412" i="13"/>
  <c r="K412" i="13" s="1"/>
  <c r="K423" i="13"/>
  <c r="T493" i="13"/>
  <c r="T269" i="13"/>
  <c r="T415" i="13"/>
  <c r="O141" i="12"/>
  <c r="O175" i="13"/>
  <c r="L173" i="13"/>
  <c r="O173" i="13" s="1"/>
  <c r="Q728" i="13"/>
  <c r="T728" i="13" s="1"/>
  <c r="T730" i="13"/>
  <c r="O601" i="13"/>
  <c r="L599" i="13"/>
  <c r="O599" i="13" s="1"/>
  <c r="L555" i="13"/>
  <c r="O555" i="13" s="1"/>
  <c r="O557" i="13"/>
  <c r="P377" i="13"/>
  <c r="M375" i="13"/>
  <c r="P375" i="13" s="1"/>
  <c r="U26" i="12"/>
  <c r="R303" i="12"/>
  <c r="U303" i="12" s="1"/>
  <c r="U188" i="12"/>
  <c r="Q392" i="12"/>
  <c r="T392" i="12" s="1"/>
  <c r="Q728" i="12"/>
  <c r="T728" i="12" s="1"/>
  <c r="L534" i="8"/>
  <c r="O534" i="8" s="1"/>
  <c r="L493" i="10"/>
  <c r="O493" i="10" s="1"/>
  <c r="P601" i="10"/>
  <c r="O268" i="9"/>
  <c r="P358" i="10"/>
  <c r="S20" i="12"/>
  <c r="S18" i="12" s="1"/>
  <c r="M157" i="12"/>
  <c r="P157" i="12" s="1"/>
  <c r="P142" i="12"/>
  <c r="U690" i="12"/>
  <c r="Q642" i="12"/>
  <c r="T642" i="12" s="1"/>
  <c r="O175" i="12"/>
  <c r="L173" i="12"/>
  <c r="O173" i="12" s="1"/>
  <c r="U141" i="12"/>
  <c r="T415" i="12"/>
  <c r="Q413" i="12"/>
  <c r="T413" i="12" s="1"/>
  <c r="L320" i="9"/>
  <c r="O320" i="9" s="1"/>
  <c r="L94" i="10"/>
  <c r="O94" i="10" s="1"/>
  <c r="Q599" i="10"/>
  <c r="T599" i="10" s="1"/>
  <c r="P358" i="11"/>
  <c r="S266" i="11"/>
  <c r="U266" i="11" s="1"/>
  <c r="M493" i="11"/>
  <c r="P493" i="11" s="1"/>
  <c r="M599" i="11"/>
  <c r="P599" i="11" s="1"/>
  <c r="O74" i="12"/>
  <c r="R413" i="12"/>
  <c r="U413" i="12" s="1"/>
  <c r="O119" i="12"/>
  <c r="L117" i="12"/>
  <c r="O117" i="12" s="1"/>
  <c r="L534" i="12"/>
  <c r="O534" i="12" s="1"/>
  <c r="P602" i="12"/>
  <c r="O74" i="9"/>
  <c r="M282" i="10"/>
  <c r="P282" i="10" s="1"/>
  <c r="L117" i="11"/>
  <c r="O117" i="11" s="1"/>
  <c r="M513" i="12"/>
  <c r="P513" i="12" s="1"/>
  <c r="L599" i="12"/>
  <c r="O599" i="12" s="1"/>
  <c r="P599" i="12"/>
  <c r="M282" i="5"/>
  <c r="P282" i="5" s="1"/>
  <c r="T188" i="12"/>
  <c r="P23" i="12"/>
  <c r="M20" i="12"/>
  <c r="Q24" i="12"/>
  <c r="T24" i="12" s="1"/>
  <c r="T26" i="12"/>
  <c r="R72" i="12"/>
  <c r="U72" i="12" s="1"/>
  <c r="U74" i="12"/>
  <c r="O59" i="12"/>
  <c r="I71" i="12"/>
  <c r="K71" i="12" s="1"/>
  <c r="K83" i="12"/>
  <c r="L303" i="12"/>
  <c r="O303" i="12" s="1"/>
  <c r="L513" i="12"/>
  <c r="O513" i="12" s="1"/>
  <c r="O515" i="12"/>
  <c r="P377" i="12"/>
  <c r="M375" i="12"/>
  <c r="P375" i="12" s="1"/>
  <c r="T618" i="2"/>
  <c r="P61" i="6"/>
  <c r="O188" i="8"/>
  <c r="U141" i="9"/>
  <c r="P333" i="10"/>
  <c r="U618" i="10"/>
  <c r="L24" i="12"/>
  <c r="O24" i="12" s="1"/>
  <c r="T266" i="12"/>
  <c r="R24" i="12"/>
  <c r="U24" i="12" s="1"/>
  <c r="L232" i="12"/>
  <c r="O243" i="12"/>
  <c r="O322" i="12"/>
  <c r="L320" i="12"/>
  <c r="O320" i="12" s="1"/>
  <c r="P336" i="3"/>
  <c r="O359" i="8"/>
  <c r="T618" i="8"/>
  <c r="T188" i="8"/>
  <c r="L117" i="9"/>
  <c r="O117" i="9" s="1"/>
  <c r="L282" i="10"/>
  <c r="O282" i="10" s="1"/>
  <c r="L232" i="10"/>
  <c r="P188" i="10"/>
  <c r="M356" i="10"/>
  <c r="P356" i="10" s="1"/>
  <c r="U730" i="10"/>
  <c r="T730" i="10"/>
  <c r="N44" i="11"/>
  <c r="O44" i="11" s="1"/>
  <c r="P335" i="11"/>
  <c r="U728" i="11"/>
  <c r="L44" i="12"/>
  <c r="O46" i="12"/>
  <c r="P44" i="12"/>
  <c r="P61" i="12"/>
  <c r="R20" i="12"/>
  <c r="R18" i="12" s="1"/>
  <c r="U23" i="12"/>
  <c r="O142" i="12"/>
  <c r="U119" i="12"/>
  <c r="I231" i="12"/>
  <c r="U186" i="12"/>
  <c r="T269" i="12"/>
  <c r="Q599" i="12"/>
  <c r="T599" i="12" s="1"/>
  <c r="T268" i="12"/>
  <c r="L493" i="12"/>
  <c r="O493" i="12" s="1"/>
  <c r="O495" i="12"/>
  <c r="Q690" i="12"/>
  <c r="T690" i="12" s="1"/>
  <c r="O578" i="3"/>
  <c r="U693" i="4"/>
  <c r="P97" i="9"/>
  <c r="T618" i="9"/>
  <c r="T119" i="9"/>
  <c r="L493" i="11"/>
  <c r="O493" i="11" s="1"/>
  <c r="Q599" i="11"/>
  <c r="T599" i="11" s="1"/>
  <c r="M513" i="11"/>
  <c r="P513" i="11" s="1"/>
  <c r="O188" i="11"/>
  <c r="T618" i="11"/>
  <c r="S117" i="12"/>
  <c r="U117" i="12" s="1"/>
  <c r="T74" i="12"/>
  <c r="Q72" i="12"/>
  <c r="T72" i="12" s="1"/>
  <c r="M117" i="12"/>
  <c r="P117" i="12" s="1"/>
  <c r="T186" i="12"/>
  <c r="M59" i="12"/>
  <c r="P59" i="12" s="1"/>
  <c r="L413" i="12"/>
  <c r="O413" i="12" s="1"/>
  <c r="U495" i="12"/>
  <c r="R493" i="12"/>
  <c r="U493" i="12" s="1"/>
  <c r="L282" i="12"/>
  <c r="O282" i="12" s="1"/>
  <c r="L139" i="1"/>
  <c r="U416" i="1"/>
  <c r="L599" i="2"/>
  <c r="O599" i="2" s="1"/>
  <c r="O602" i="6"/>
  <c r="M555" i="7"/>
  <c r="P555" i="7" s="1"/>
  <c r="M117" i="8"/>
  <c r="P117" i="8" s="1"/>
  <c r="P74" i="10"/>
  <c r="P359" i="10"/>
  <c r="T120" i="10"/>
  <c r="R413" i="11"/>
  <c r="M21" i="12"/>
  <c r="P46" i="12"/>
  <c r="P188" i="12"/>
  <c r="M186" i="12"/>
  <c r="P186" i="12" s="1"/>
  <c r="Q20" i="12"/>
  <c r="T23" i="12"/>
  <c r="Q21" i="12"/>
  <c r="S21" i="12"/>
  <c r="U21" i="12" s="1"/>
  <c r="U268" i="12"/>
  <c r="R392" i="12"/>
  <c r="U392" i="12" s="1"/>
  <c r="Q157" i="12"/>
  <c r="T157" i="12" s="1"/>
  <c r="N356" i="12"/>
  <c r="N40" i="12" s="1"/>
  <c r="Q616" i="12"/>
  <c r="T616" i="12" s="1"/>
  <c r="O358" i="12"/>
  <c r="P188" i="8"/>
  <c r="M333" i="9"/>
  <c r="P333" i="9" s="1"/>
  <c r="R186" i="10"/>
  <c r="U186" i="10" s="1"/>
  <c r="T618" i="10"/>
  <c r="O268" i="11"/>
  <c r="K332" i="11"/>
  <c r="O336" i="11"/>
  <c r="P336" i="11"/>
  <c r="L20" i="12"/>
  <c r="O23" i="12"/>
  <c r="P139" i="12"/>
  <c r="I70" i="12"/>
  <c r="K70" i="12" s="1"/>
  <c r="K82" i="12"/>
  <c r="O61" i="12"/>
  <c r="U19" i="12"/>
  <c r="M303" i="12"/>
  <c r="P303" i="12" s="1"/>
  <c r="R728" i="12"/>
  <c r="U728" i="12" s="1"/>
  <c r="U730" i="12"/>
  <c r="O377" i="12"/>
  <c r="L375" i="12"/>
  <c r="O375" i="12" s="1"/>
  <c r="R392" i="11"/>
  <c r="U392" i="11" s="1"/>
  <c r="R642" i="11"/>
  <c r="U642" i="11" s="1"/>
  <c r="K374" i="7"/>
  <c r="U96" i="8"/>
  <c r="T74" i="8"/>
  <c r="L232" i="11"/>
  <c r="M375" i="11"/>
  <c r="P375" i="11" s="1"/>
  <c r="P377" i="11"/>
  <c r="S690" i="11"/>
  <c r="T690" i="11" s="1"/>
  <c r="T96" i="8"/>
  <c r="O358" i="10"/>
  <c r="O188" i="10"/>
  <c r="R117" i="11"/>
  <c r="U117" i="11" s="1"/>
  <c r="M24" i="11"/>
  <c r="P24" i="11" s="1"/>
  <c r="P46" i="11"/>
  <c r="U692" i="11"/>
  <c r="T305" i="11"/>
  <c r="O358" i="11"/>
  <c r="M493" i="8"/>
  <c r="P493" i="8" s="1"/>
  <c r="L282" i="9"/>
  <c r="O282" i="9" s="1"/>
  <c r="P62" i="11"/>
  <c r="Q139" i="11"/>
  <c r="T139" i="11" s="1"/>
  <c r="M555" i="10"/>
  <c r="P555" i="10" s="1"/>
  <c r="Q24" i="11"/>
  <c r="T24" i="11" s="1"/>
  <c r="O266" i="11"/>
  <c r="P176" i="11"/>
  <c r="Q392" i="11"/>
  <c r="T392" i="11" s="1"/>
  <c r="U730" i="11"/>
  <c r="T728" i="11"/>
  <c r="L599" i="11"/>
  <c r="O599" i="11" s="1"/>
  <c r="K242" i="11"/>
  <c r="I231" i="11"/>
  <c r="R599" i="11"/>
  <c r="U599" i="11" s="1"/>
  <c r="O284" i="11"/>
  <c r="L282" i="11"/>
  <c r="O282" i="11" s="1"/>
  <c r="M534" i="11"/>
  <c r="P534" i="11" s="1"/>
  <c r="P536" i="11"/>
  <c r="U74" i="6"/>
  <c r="U619" i="9"/>
  <c r="T730" i="9"/>
  <c r="R375" i="10"/>
  <c r="U375" i="10" s="1"/>
  <c r="O557" i="10"/>
  <c r="T19" i="11"/>
  <c r="L21" i="11"/>
  <c r="L20" i="11"/>
  <c r="O23" i="11"/>
  <c r="K82" i="11"/>
  <c r="I70" i="11"/>
  <c r="K70" i="11" s="1"/>
  <c r="O47" i="11"/>
  <c r="P47" i="11"/>
  <c r="M576" i="11"/>
  <c r="P576" i="11" s="1"/>
  <c r="P578" i="11"/>
  <c r="T730" i="11"/>
  <c r="N21" i="11"/>
  <c r="P21" i="11" s="1"/>
  <c r="N20" i="11"/>
  <c r="N18" i="11" s="1"/>
  <c r="P358" i="3"/>
  <c r="U601" i="4"/>
  <c r="Q642" i="7"/>
  <c r="T642" i="7" s="1"/>
  <c r="M320" i="8"/>
  <c r="P320" i="8" s="1"/>
  <c r="O335" i="8"/>
  <c r="R173" i="9"/>
  <c r="U173" i="9" s="1"/>
  <c r="T305" i="9"/>
  <c r="N59" i="10"/>
  <c r="O59" i="10" s="1"/>
  <c r="L117" i="10"/>
  <c r="O117" i="10" s="1"/>
  <c r="R493" i="10"/>
  <c r="U493" i="10" s="1"/>
  <c r="T760" i="10"/>
  <c r="O19" i="11"/>
  <c r="N59" i="11"/>
  <c r="O59" i="11" s="1"/>
  <c r="M59" i="11"/>
  <c r="P61" i="11"/>
  <c r="N186" i="11"/>
  <c r="O186" i="11" s="1"/>
  <c r="O305" i="11"/>
  <c r="L303" i="11"/>
  <c r="O303" i="11" s="1"/>
  <c r="U377" i="11"/>
  <c r="R375" i="11"/>
  <c r="U375" i="11" s="1"/>
  <c r="M186" i="11"/>
  <c r="P188" i="11"/>
  <c r="T266" i="3"/>
  <c r="R392" i="6"/>
  <c r="U392" i="6" s="1"/>
  <c r="P175" i="7"/>
  <c r="U188" i="8"/>
  <c r="P359" i="8"/>
  <c r="Q728" i="8"/>
  <c r="T728" i="8" s="1"/>
  <c r="T141" i="9"/>
  <c r="O186" i="9"/>
  <c r="O269" i="9"/>
  <c r="O333" i="9"/>
  <c r="O47" i="10"/>
  <c r="L157" i="10"/>
  <c r="O157" i="10" s="1"/>
  <c r="O602" i="10"/>
  <c r="Q72" i="10"/>
  <c r="T72" i="10" s="1"/>
  <c r="U19" i="11"/>
  <c r="R21" i="11"/>
  <c r="U21" i="11" s="1"/>
  <c r="R20" i="11"/>
  <c r="U23" i="11"/>
  <c r="M139" i="11"/>
  <c r="P139" i="11" s="1"/>
  <c r="Q72" i="11"/>
  <c r="T72" i="11" s="1"/>
  <c r="K83" i="11"/>
  <c r="I71" i="11"/>
  <c r="K71" i="11" s="1"/>
  <c r="Q266" i="11"/>
  <c r="U305" i="11"/>
  <c r="R303" i="11"/>
  <c r="U303" i="11" s="1"/>
  <c r="Q616" i="11"/>
  <c r="P268" i="11"/>
  <c r="M266" i="11"/>
  <c r="P266" i="11" s="1"/>
  <c r="L413" i="11"/>
  <c r="O413" i="11" s="1"/>
  <c r="O377" i="11"/>
  <c r="L375" i="11"/>
  <c r="O375" i="11" s="1"/>
  <c r="T269" i="2"/>
  <c r="R139" i="11"/>
  <c r="U139" i="11" s="1"/>
  <c r="U141" i="11"/>
  <c r="P159" i="11"/>
  <c r="M157" i="11"/>
  <c r="P157" i="11" s="1"/>
  <c r="I70" i="3"/>
  <c r="K70" i="3" s="1"/>
  <c r="M94" i="5"/>
  <c r="P94" i="5" s="1"/>
  <c r="T120" i="7"/>
  <c r="Q266" i="8"/>
  <c r="T266" i="8" s="1"/>
  <c r="Q186" i="8"/>
  <c r="T186" i="8" s="1"/>
  <c r="Q616" i="8"/>
  <c r="U731" i="8"/>
  <c r="T189" i="8"/>
  <c r="O141" i="9"/>
  <c r="M157" i="9"/>
  <c r="P157" i="9" s="1"/>
  <c r="L266" i="9"/>
  <c r="O578" i="9"/>
  <c r="L303" i="9"/>
  <c r="O303" i="9" s="1"/>
  <c r="O335" i="9"/>
  <c r="L173" i="10"/>
  <c r="O173" i="10" s="1"/>
  <c r="Q173" i="10"/>
  <c r="T173" i="10" s="1"/>
  <c r="Q493" i="10"/>
  <c r="T493" i="10" s="1"/>
  <c r="P377" i="10"/>
  <c r="P19" i="11"/>
  <c r="R24" i="11"/>
  <c r="U24" i="11" s="1"/>
  <c r="U26" i="11"/>
  <c r="L157" i="11"/>
  <c r="O157" i="11" s="1"/>
  <c r="T175" i="11"/>
  <c r="Q173" i="11"/>
  <c r="T173" i="11" s="1"/>
  <c r="P23" i="11"/>
  <c r="M20" i="11"/>
  <c r="M18" i="11" s="1"/>
  <c r="S20" i="11"/>
  <c r="S18" i="11" s="1"/>
  <c r="T96" i="11"/>
  <c r="Q94" i="11"/>
  <c r="T94" i="11" s="1"/>
  <c r="M282" i="11"/>
  <c r="P282" i="11" s="1"/>
  <c r="P284" i="11"/>
  <c r="M356" i="11"/>
  <c r="P356" i="11" s="1"/>
  <c r="Q186" i="11"/>
  <c r="T186" i="11" s="1"/>
  <c r="L513" i="11"/>
  <c r="O513" i="11" s="1"/>
  <c r="O515" i="11"/>
  <c r="L24" i="11"/>
  <c r="O24" i="11" s="1"/>
  <c r="O26" i="11"/>
  <c r="M320" i="11"/>
  <c r="P320" i="11" s="1"/>
  <c r="P322" i="11"/>
  <c r="S282" i="1"/>
  <c r="P358" i="8"/>
  <c r="T269" i="9"/>
  <c r="R173" i="10"/>
  <c r="U173" i="10" s="1"/>
  <c r="L576" i="10"/>
  <c r="O576" i="10" s="1"/>
  <c r="U616" i="10"/>
  <c r="P96" i="11"/>
  <c r="M94" i="11"/>
  <c r="P94" i="11" s="1"/>
  <c r="Q20" i="11"/>
  <c r="T23" i="11"/>
  <c r="Q21" i="11"/>
  <c r="T21" i="11" s="1"/>
  <c r="O141" i="11"/>
  <c r="L139" i="11"/>
  <c r="O139" i="11" s="1"/>
  <c r="M117" i="11"/>
  <c r="P117" i="11" s="1"/>
  <c r="N173" i="11"/>
  <c r="O173" i="11" s="1"/>
  <c r="P175" i="11"/>
  <c r="O356" i="11"/>
  <c r="R94" i="11"/>
  <c r="U94" i="11" s="1"/>
  <c r="O335" i="11"/>
  <c r="L333" i="11"/>
  <c r="O333" i="11" s="1"/>
  <c r="L303" i="8"/>
  <c r="O303" i="8" s="1"/>
  <c r="P557" i="9"/>
  <c r="P266" i="10"/>
  <c r="O336" i="8"/>
  <c r="U186" i="9"/>
  <c r="P336" i="9"/>
  <c r="T763" i="9"/>
  <c r="P268" i="10"/>
  <c r="R117" i="10"/>
  <c r="U117" i="10" s="1"/>
  <c r="K332" i="10"/>
  <c r="M513" i="10"/>
  <c r="P513" i="10" s="1"/>
  <c r="T728" i="10"/>
  <c r="U378" i="10"/>
  <c r="Q690" i="10"/>
  <c r="T690" i="10" s="1"/>
  <c r="R186" i="8"/>
  <c r="U186" i="8" s="1"/>
  <c r="Q117" i="9"/>
  <c r="T117" i="9" s="1"/>
  <c r="O336" i="9"/>
  <c r="U763" i="9"/>
  <c r="P61" i="10"/>
  <c r="O359" i="10"/>
  <c r="N375" i="10"/>
  <c r="P375" i="10" s="1"/>
  <c r="O377" i="10"/>
  <c r="P175" i="10"/>
  <c r="P268" i="9"/>
  <c r="P322" i="10"/>
  <c r="M320" i="10"/>
  <c r="P320" i="10" s="1"/>
  <c r="T142" i="9"/>
  <c r="T188" i="9"/>
  <c r="R392" i="9"/>
  <c r="U392" i="9" s="1"/>
  <c r="O139" i="9"/>
  <c r="S20" i="10"/>
  <c r="S18" i="10" s="1"/>
  <c r="O268" i="10"/>
  <c r="P141" i="9"/>
  <c r="R599" i="10"/>
  <c r="U599" i="10" s="1"/>
  <c r="O601" i="10"/>
  <c r="T644" i="10"/>
  <c r="Q642" i="10"/>
  <c r="T642" i="10" s="1"/>
  <c r="Q186" i="10"/>
  <c r="T186" i="10" s="1"/>
  <c r="L513" i="5"/>
  <c r="O513" i="5" s="1"/>
  <c r="P269" i="7"/>
  <c r="U189" i="8"/>
  <c r="O97" i="9"/>
  <c r="O142" i="9"/>
  <c r="M139" i="9"/>
  <c r="P139" i="9" s="1"/>
  <c r="O306" i="9"/>
  <c r="Q20" i="10"/>
  <c r="T23" i="10"/>
  <c r="Q21" i="10"/>
  <c r="P26" i="10"/>
  <c r="M139" i="10"/>
  <c r="P139" i="10" s="1"/>
  <c r="P173" i="10"/>
  <c r="U415" i="10"/>
  <c r="R413" i="10"/>
  <c r="U413" i="10" s="1"/>
  <c r="L513" i="10"/>
  <c r="O513" i="10" s="1"/>
  <c r="T119" i="10"/>
  <c r="Q117" i="10"/>
  <c r="T117" i="10" s="1"/>
  <c r="L24" i="10"/>
  <c r="O24" i="10" s="1"/>
  <c r="O26" i="10"/>
  <c r="T616" i="10"/>
  <c r="N186" i="10"/>
  <c r="O186" i="10" s="1"/>
  <c r="Q392" i="10"/>
  <c r="T392" i="10" s="1"/>
  <c r="O188" i="9"/>
  <c r="O358" i="3"/>
  <c r="M186" i="8"/>
  <c r="P186" i="8" s="1"/>
  <c r="P358" i="9"/>
  <c r="T619" i="9"/>
  <c r="M173" i="9"/>
  <c r="P173" i="9" s="1"/>
  <c r="T19" i="10"/>
  <c r="P96" i="10"/>
  <c r="M94" i="10"/>
  <c r="P94" i="10" s="1"/>
  <c r="P19" i="10"/>
  <c r="T26" i="10"/>
  <c r="Q24" i="10"/>
  <c r="T24" i="10" s="1"/>
  <c r="N21" i="10"/>
  <c r="P21" i="10" s="1"/>
  <c r="N20" i="10"/>
  <c r="N18" i="10" s="1"/>
  <c r="L139" i="10"/>
  <c r="O139" i="10" s="1"/>
  <c r="O141" i="10"/>
  <c r="R21" i="10"/>
  <c r="R20" i="10"/>
  <c r="U20" i="10" s="1"/>
  <c r="U23" i="10"/>
  <c r="L356" i="10"/>
  <c r="O356" i="10" s="1"/>
  <c r="N266" i="9"/>
  <c r="P266" i="9" s="1"/>
  <c r="T760" i="9"/>
  <c r="O19" i="10"/>
  <c r="R157" i="10"/>
  <c r="U157" i="10" s="1"/>
  <c r="L534" i="10"/>
  <c r="O534" i="10" s="1"/>
  <c r="O536" i="10"/>
  <c r="O335" i="10"/>
  <c r="L333" i="10"/>
  <c r="O333" i="10" s="1"/>
  <c r="M117" i="10"/>
  <c r="P117" i="10" s="1"/>
  <c r="Q303" i="10"/>
  <c r="T303" i="10" s="1"/>
  <c r="P602" i="10"/>
  <c r="T763" i="10"/>
  <c r="U19" i="10"/>
  <c r="P23" i="10"/>
  <c r="M20" i="10"/>
  <c r="O62" i="10"/>
  <c r="P62" i="10"/>
  <c r="P159" i="10"/>
  <c r="M157" i="10"/>
  <c r="P157" i="10" s="1"/>
  <c r="O269" i="10"/>
  <c r="P269" i="10"/>
  <c r="O415" i="10"/>
  <c r="L413" i="10"/>
  <c r="O413" i="10" s="1"/>
  <c r="R392" i="4"/>
  <c r="U392" i="4" s="1"/>
  <c r="R493" i="6"/>
  <c r="U493" i="6" s="1"/>
  <c r="Q72" i="7"/>
  <c r="T72" i="7" s="1"/>
  <c r="U644" i="7"/>
  <c r="U120" i="9"/>
  <c r="O358" i="9"/>
  <c r="U693" i="9"/>
  <c r="M44" i="10"/>
  <c r="P46" i="10"/>
  <c r="M24" i="10"/>
  <c r="P24" i="10" s="1"/>
  <c r="P47" i="10"/>
  <c r="R24" i="10"/>
  <c r="U24" i="10" s="1"/>
  <c r="U26" i="10"/>
  <c r="K83" i="10"/>
  <c r="I71" i="10"/>
  <c r="K71" i="10" s="1"/>
  <c r="S21" i="10"/>
  <c r="R139" i="10"/>
  <c r="U139" i="10" s="1"/>
  <c r="U141" i="10"/>
  <c r="U692" i="10"/>
  <c r="R690" i="10"/>
  <c r="U690" i="10" s="1"/>
  <c r="O189" i="10"/>
  <c r="U644" i="10"/>
  <c r="R642" i="10"/>
  <c r="U642" i="10" s="1"/>
  <c r="I231" i="8"/>
  <c r="K231" i="8" s="1"/>
  <c r="O189" i="9"/>
  <c r="P306" i="9"/>
  <c r="U415" i="9"/>
  <c r="U269" i="9"/>
  <c r="L157" i="9"/>
  <c r="O157" i="9" s="1"/>
  <c r="O44" i="10"/>
  <c r="K82" i="10"/>
  <c r="I70" i="10"/>
  <c r="K70" i="10" s="1"/>
  <c r="O266" i="10"/>
  <c r="L21" i="10"/>
  <c r="L20" i="10"/>
  <c r="O23" i="10"/>
  <c r="T268" i="10"/>
  <c r="Q266" i="10"/>
  <c r="T266" i="10" s="1"/>
  <c r="P335" i="10"/>
  <c r="O305" i="10"/>
  <c r="L303" i="10"/>
  <c r="O303" i="10" s="1"/>
  <c r="P305" i="10"/>
  <c r="M303" i="10"/>
  <c r="P303" i="10" s="1"/>
  <c r="O599" i="10"/>
  <c r="M599" i="10"/>
  <c r="P599" i="10" s="1"/>
  <c r="K242" i="10"/>
  <c r="I231" i="10"/>
  <c r="R728" i="10"/>
  <c r="U728" i="10" s="1"/>
  <c r="M599" i="7"/>
  <c r="P599" i="7" s="1"/>
  <c r="P413" i="8"/>
  <c r="M24" i="9"/>
  <c r="P24" i="9" s="1"/>
  <c r="Q186" i="9"/>
  <c r="T186" i="9" s="1"/>
  <c r="N356" i="9"/>
  <c r="O356" i="9" s="1"/>
  <c r="Q392" i="9"/>
  <c r="T392" i="9" s="1"/>
  <c r="R493" i="9"/>
  <c r="U493" i="9" s="1"/>
  <c r="Q728" i="9"/>
  <c r="T728" i="9" s="1"/>
  <c r="L599" i="9"/>
  <c r="O599" i="9" s="1"/>
  <c r="L186" i="8"/>
  <c r="O186" i="8" s="1"/>
  <c r="U139" i="9"/>
  <c r="O359" i="9"/>
  <c r="U188" i="9"/>
  <c r="R94" i="9"/>
  <c r="U94" i="9" s="1"/>
  <c r="O61" i="9"/>
  <c r="K82" i="9"/>
  <c r="I70" i="9"/>
  <c r="K70" i="9" s="1"/>
  <c r="R392" i="8"/>
  <c r="U392" i="8" s="1"/>
  <c r="M303" i="8"/>
  <c r="P303" i="8" s="1"/>
  <c r="K374" i="8"/>
  <c r="J456" i="9"/>
  <c r="K456" i="9" s="1"/>
  <c r="M513" i="9"/>
  <c r="P513" i="9" s="1"/>
  <c r="M493" i="9"/>
  <c r="P493" i="9" s="1"/>
  <c r="T145" i="9"/>
  <c r="T72" i="9"/>
  <c r="R375" i="9"/>
  <c r="U375" i="9" s="1"/>
  <c r="O44" i="9"/>
  <c r="L576" i="8"/>
  <c r="O576" i="8" s="1"/>
  <c r="Q303" i="9"/>
  <c r="T303" i="9" s="1"/>
  <c r="U119" i="8"/>
  <c r="P23" i="9"/>
  <c r="M20" i="9"/>
  <c r="I231" i="9"/>
  <c r="K242" i="9"/>
  <c r="O159" i="1"/>
  <c r="O378" i="7"/>
  <c r="T762" i="7"/>
  <c r="T731" i="7"/>
  <c r="P61" i="8"/>
  <c r="U306" i="8"/>
  <c r="U176" i="7"/>
  <c r="T763" i="8"/>
  <c r="R760" i="8"/>
  <c r="U760" i="8" s="1"/>
  <c r="O47" i="8"/>
  <c r="T97" i="8"/>
  <c r="S117" i="8"/>
  <c r="U117" i="8" s="1"/>
  <c r="M59" i="9"/>
  <c r="P59" i="9" s="1"/>
  <c r="P61" i="9"/>
  <c r="S20" i="9"/>
  <c r="S18" i="9" s="1"/>
  <c r="N72" i="9"/>
  <c r="P142" i="9"/>
  <c r="T74" i="9"/>
  <c r="P188" i="9"/>
  <c r="M186" i="9"/>
  <c r="P186" i="9" s="1"/>
  <c r="U692" i="9"/>
  <c r="Q375" i="9"/>
  <c r="T375" i="9" s="1"/>
  <c r="R599" i="9"/>
  <c r="U599" i="9" s="1"/>
  <c r="R760" i="9"/>
  <c r="U760" i="9" s="1"/>
  <c r="T19" i="9"/>
  <c r="O377" i="9"/>
  <c r="L375" i="9"/>
  <c r="O375" i="9" s="1"/>
  <c r="R24" i="9"/>
  <c r="U24" i="9" s="1"/>
  <c r="U26" i="9"/>
  <c r="P19" i="9"/>
  <c r="T415" i="9"/>
  <c r="U119" i="3"/>
  <c r="O61" i="4"/>
  <c r="T616" i="6"/>
  <c r="U269" i="7"/>
  <c r="U378" i="7"/>
  <c r="U173" i="7"/>
  <c r="R173" i="8"/>
  <c r="U173" i="8" s="1"/>
  <c r="T378" i="8"/>
  <c r="R599" i="8"/>
  <c r="U599" i="8" s="1"/>
  <c r="R642" i="8"/>
  <c r="U642" i="8" s="1"/>
  <c r="U728" i="8"/>
  <c r="M72" i="9"/>
  <c r="P74" i="9"/>
  <c r="Q139" i="9"/>
  <c r="T139" i="9" s="1"/>
  <c r="M21" i="9"/>
  <c r="L94" i="9"/>
  <c r="O94" i="9" s="1"/>
  <c r="R157" i="9"/>
  <c r="U157" i="9" s="1"/>
  <c r="U72" i="9"/>
  <c r="O46" i="9"/>
  <c r="P189" i="9"/>
  <c r="U416" i="9"/>
  <c r="R413" i="9"/>
  <c r="U413" i="9" s="1"/>
  <c r="P578" i="9"/>
  <c r="R21" i="9"/>
  <c r="U21" i="9" s="1"/>
  <c r="R20" i="9"/>
  <c r="U23" i="9"/>
  <c r="U378" i="8"/>
  <c r="L24" i="9"/>
  <c r="O24" i="9" s="1"/>
  <c r="O26" i="9"/>
  <c r="U268" i="9"/>
  <c r="R266" i="9"/>
  <c r="U266" i="9" s="1"/>
  <c r="R186" i="6"/>
  <c r="U186" i="6" s="1"/>
  <c r="T269" i="7"/>
  <c r="U762" i="7"/>
  <c r="R493" i="8"/>
  <c r="U493" i="8" s="1"/>
  <c r="O175" i="8"/>
  <c r="P378" i="8"/>
  <c r="S413" i="8"/>
  <c r="T413" i="8" s="1"/>
  <c r="N21" i="9"/>
  <c r="N20" i="9"/>
  <c r="N18" i="9" s="1"/>
  <c r="L173" i="9"/>
  <c r="O173" i="9" s="1"/>
  <c r="U74" i="9"/>
  <c r="L232" i="9"/>
  <c r="O243" i="9"/>
  <c r="Q413" i="9"/>
  <c r="T413" i="9" s="1"/>
  <c r="T693" i="9"/>
  <c r="L493" i="9"/>
  <c r="O493" i="9" s="1"/>
  <c r="N576" i="9"/>
  <c r="O576" i="9" s="1"/>
  <c r="L555" i="9"/>
  <c r="O555" i="9" s="1"/>
  <c r="M599" i="9"/>
  <c r="P599" i="9" s="1"/>
  <c r="T690" i="9"/>
  <c r="M44" i="9"/>
  <c r="P46" i="9"/>
  <c r="T26" i="9"/>
  <c r="Q24" i="9"/>
  <c r="T24" i="9" s="1"/>
  <c r="N413" i="9"/>
  <c r="P413" i="9" s="1"/>
  <c r="P415" i="9"/>
  <c r="T692" i="9"/>
  <c r="K701" i="5"/>
  <c r="O173" i="6"/>
  <c r="L117" i="8"/>
  <c r="O117" i="8" s="1"/>
  <c r="Q20" i="9"/>
  <c r="T23" i="9"/>
  <c r="Q21" i="9"/>
  <c r="T21" i="9" s="1"/>
  <c r="L21" i="9"/>
  <c r="L20" i="9"/>
  <c r="O23" i="9"/>
  <c r="Q94" i="9"/>
  <c r="T94" i="9" s="1"/>
  <c r="T96" i="9"/>
  <c r="U119" i="9"/>
  <c r="R117" i="9"/>
  <c r="U117" i="9" s="1"/>
  <c r="O59" i="9"/>
  <c r="I71" i="9"/>
  <c r="K71" i="9" s="1"/>
  <c r="K83" i="9"/>
  <c r="M356" i="9"/>
  <c r="R303" i="9"/>
  <c r="U303" i="9" s="1"/>
  <c r="L513" i="9"/>
  <c r="O513" i="9" s="1"/>
  <c r="P284" i="9"/>
  <c r="M282" i="9"/>
  <c r="P282" i="9" s="1"/>
  <c r="O415" i="9"/>
  <c r="P377" i="3"/>
  <c r="O359" i="5"/>
  <c r="M576" i="6"/>
  <c r="P576" i="6" s="1"/>
  <c r="T728" i="6"/>
  <c r="S20" i="8"/>
  <c r="S18" i="8" s="1"/>
  <c r="O26" i="8"/>
  <c r="O268" i="8"/>
  <c r="U763" i="8"/>
  <c r="P415" i="8"/>
  <c r="P377" i="8"/>
  <c r="M375" i="8"/>
  <c r="P375" i="8" s="1"/>
  <c r="U415" i="8"/>
  <c r="O62" i="8"/>
  <c r="P333" i="3"/>
  <c r="P119" i="5"/>
  <c r="O186" i="7"/>
  <c r="P266" i="7"/>
  <c r="P268" i="7"/>
  <c r="Q94" i="8"/>
  <c r="T94" i="8" s="1"/>
  <c r="O266" i="8"/>
  <c r="Q375" i="8"/>
  <c r="T375" i="8" s="1"/>
  <c r="P268" i="8"/>
  <c r="O269" i="8"/>
  <c r="L599" i="8"/>
  <c r="O599" i="8" s="1"/>
  <c r="M513" i="8"/>
  <c r="P513" i="8" s="1"/>
  <c r="O74" i="8"/>
  <c r="L72" i="8"/>
  <c r="O72" i="8" s="1"/>
  <c r="R72" i="8"/>
  <c r="U72" i="8" s="1"/>
  <c r="O335" i="3"/>
  <c r="P62" i="6"/>
  <c r="O189" i="7"/>
  <c r="R139" i="7"/>
  <c r="U139" i="7" s="1"/>
  <c r="N375" i="7"/>
  <c r="O375" i="7" s="1"/>
  <c r="L493" i="7"/>
  <c r="O493" i="7" s="1"/>
  <c r="R599" i="7"/>
  <c r="U599" i="7" s="1"/>
  <c r="O96" i="8"/>
  <c r="O24" i="8"/>
  <c r="L157" i="8"/>
  <c r="O157" i="8" s="1"/>
  <c r="R303" i="8"/>
  <c r="U303" i="8" s="1"/>
  <c r="S21" i="8"/>
  <c r="O413" i="8"/>
  <c r="M24" i="8"/>
  <c r="P24" i="8" s="1"/>
  <c r="I71" i="8"/>
  <c r="K71" i="8" s="1"/>
  <c r="K83" i="8"/>
  <c r="U493" i="3"/>
  <c r="M173" i="3"/>
  <c r="P173" i="3" s="1"/>
  <c r="P46" i="3"/>
  <c r="S20" i="6"/>
  <c r="S18" i="6" s="1"/>
  <c r="Q375" i="7"/>
  <c r="T375" i="7" s="1"/>
  <c r="P601" i="8"/>
  <c r="Q760" i="8"/>
  <c r="T760" i="8" s="1"/>
  <c r="O415" i="8"/>
  <c r="M157" i="8"/>
  <c r="P157" i="8" s="1"/>
  <c r="M375" i="5"/>
  <c r="P375" i="5" s="1"/>
  <c r="U730" i="5"/>
  <c r="P23" i="8"/>
  <c r="M20" i="8"/>
  <c r="M18" i="8" s="1"/>
  <c r="Q24" i="8"/>
  <c r="T24" i="8" s="1"/>
  <c r="T26" i="8"/>
  <c r="L320" i="8"/>
  <c r="O320" i="8" s="1"/>
  <c r="O322" i="8"/>
  <c r="T159" i="8"/>
  <c r="Q157" i="8"/>
  <c r="T157" i="8" s="1"/>
  <c r="L94" i="8"/>
  <c r="O94" i="8" s="1"/>
  <c r="P416" i="8"/>
  <c r="P46" i="6"/>
  <c r="L72" i="6"/>
  <c r="O72" i="6" s="1"/>
  <c r="M375" i="6"/>
  <c r="P375" i="6" s="1"/>
  <c r="O416" i="6"/>
  <c r="T730" i="6"/>
  <c r="M413" i="7"/>
  <c r="P413" i="7" s="1"/>
  <c r="O358" i="7"/>
  <c r="L534" i="7"/>
  <c r="O534" i="7" s="1"/>
  <c r="P356" i="8"/>
  <c r="M72" i="8"/>
  <c r="P72" i="8" s="1"/>
  <c r="P96" i="8"/>
  <c r="M94" i="8"/>
  <c r="P94" i="8" s="1"/>
  <c r="L232" i="8"/>
  <c r="O243" i="8"/>
  <c r="P536" i="8"/>
  <c r="M534" i="8"/>
  <c r="P534" i="8" s="1"/>
  <c r="L24" i="6"/>
  <c r="O24" i="6" s="1"/>
  <c r="T415" i="6"/>
  <c r="P119" i="7"/>
  <c r="R186" i="7"/>
  <c r="U186" i="7" s="1"/>
  <c r="M576" i="7"/>
  <c r="P576" i="7" s="1"/>
  <c r="L555" i="7"/>
  <c r="O555" i="7" s="1"/>
  <c r="M59" i="8"/>
  <c r="P59" i="8" s="1"/>
  <c r="N333" i="8"/>
  <c r="O333" i="8" s="1"/>
  <c r="T119" i="8"/>
  <c r="Q117" i="8"/>
  <c r="Q139" i="8"/>
  <c r="T139" i="8" s="1"/>
  <c r="O356" i="8"/>
  <c r="K82" i="8"/>
  <c r="I70" i="8"/>
  <c r="K70" i="8" s="1"/>
  <c r="L555" i="8"/>
  <c r="O555" i="8" s="1"/>
  <c r="L513" i="8"/>
  <c r="O513" i="8" s="1"/>
  <c r="O515" i="8"/>
  <c r="M139" i="8"/>
  <c r="P139" i="8" s="1"/>
  <c r="M576" i="8"/>
  <c r="P576" i="8" s="1"/>
  <c r="P578" i="8"/>
  <c r="P159" i="1"/>
  <c r="T731" i="1"/>
  <c r="Q20" i="8"/>
  <c r="T23" i="8"/>
  <c r="Q21" i="8"/>
  <c r="O141" i="8"/>
  <c r="L139" i="8"/>
  <c r="O139" i="8" s="1"/>
  <c r="M21" i="8"/>
  <c r="P19" i="8"/>
  <c r="M333" i="8"/>
  <c r="P335" i="8"/>
  <c r="U19" i="8"/>
  <c r="U415" i="2"/>
  <c r="L576" i="6"/>
  <c r="O576" i="6" s="1"/>
  <c r="U730" i="6"/>
  <c r="O119" i="7"/>
  <c r="L20" i="8"/>
  <c r="O23" i="8"/>
  <c r="L21" i="8"/>
  <c r="N21" i="8"/>
  <c r="N20" i="8"/>
  <c r="N18" i="8" s="1"/>
  <c r="R94" i="8"/>
  <c r="U94" i="8" s="1"/>
  <c r="O61" i="8"/>
  <c r="L59" i="8"/>
  <c r="O59" i="8" s="1"/>
  <c r="O358" i="8"/>
  <c r="L282" i="8"/>
  <c r="O282" i="8" s="1"/>
  <c r="U377" i="8"/>
  <c r="R375" i="8"/>
  <c r="U375" i="8" s="1"/>
  <c r="O377" i="8"/>
  <c r="L375" i="8"/>
  <c r="O375" i="8" s="1"/>
  <c r="U141" i="8"/>
  <c r="R139" i="8"/>
  <c r="U139" i="8" s="1"/>
  <c r="M44" i="8"/>
  <c r="T731" i="8"/>
  <c r="R690" i="8"/>
  <c r="U690" i="8" s="1"/>
  <c r="L139" i="7"/>
  <c r="O139" i="7" s="1"/>
  <c r="U97" i="3"/>
  <c r="M303" i="5"/>
  <c r="P303" i="5" s="1"/>
  <c r="L375" i="6"/>
  <c r="O375" i="6" s="1"/>
  <c r="Q392" i="6"/>
  <c r="T392" i="6" s="1"/>
  <c r="T731" i="5"/>
  <c r="U378" i="6"/>
  <c r="Q303" i="7"/>
  <c r="T303" i="7" s="1"/>
  <c r="P189" i="7"/>
  <c r="P335" i="7"/>
  <c r="P377" i="7"/>
  <c r="R20" i="8"/>
  <c r="U23" i="8"/>
  <c r="P175" i="8"/>
  <c r="M173" i="8"/>
  <c r="P173" i="8" s="1"/>
  <c r="L173" i="8"/>
  <c r="O173" i="8" s="1"/>
  <c r="R24" i="8"/>
  <c r="U24" i="8" s="1"/>
  <c r="L44" i="8"/>
  <c r="O46" i="8"/>
  <c r="R21" i="8"/>
  <c r="T305" i="8"/>
  <c r="Q303" i="8"/>
  <c r="T303" i="8" s="1"/>
  <c r="O416" i="8"/>
  <c r="P266" i="8"/>
  <c r="Q392" i="8"/>
  <c r="T392" i="8" s="1"/>
  <c r="O495" i="8"/>
  <c r="L493" i="8"/>
  <c r="O493" i="8" s="1"/>
  <c r="P601" i="5"/>
  <c r="M72" i="6"/>
  <c r="P72" i="6" s="1"/>
  <c r="P359" i="6"/>
  <c r="R139" i="6"/>
  <c r="U139" i="6" s="1"/>
  <c r="P173" i="6"/>
  <c r="O335" i="7"/>
  <c r="R303" i="7"/>
  <c r="U303" i="7" s="1"/>
  <c r="O176" i="7"/>
  <c r="O269" i="7"/>
  <c r="O356" i="7"/>
  <c r="P356" i="7"/>
  <c r="L232" i="7"/>
  <c r="P358" i="7"/>
  <c r="P495" i="7"/>
  <c r="M493" i="7"/>
  <c r="P493" i="7" s="1"/>
  <c r="U730" i="4"/>
  <c r="T730" i="4"/>
  <c r="L72" i="7"/>
  <c r="O72" i="7" s="1"/>
  <c r="Q690" i="7"/>
  <c r="T690" i="7" s="1"/>
  <c r="M157" i="7"/>
  <c r="P157" i="7" s="1"/>
  <c r="O496" i="2"/>
  <c r="P141" i="5"/>
  <c r="P188" i="4"/>
  <c r="R94" i="7"/>
  <c r="U94" i="7" s="1"/>
  <c r="P188" i="7"/>
  <c r="O61" i="6"/>
  <c r="U760" i="7"/>
  <c r="R728" i="7"/>
  <c r="P117" i="7"/>
  <c r="M94" i="7"/>
  <c r="P94" i="7" s="1"/>
  <c r="L513" i="7"/>
  <c r="O513" i="7" s="1"/>
  <c r="O515" i="7"/>
  <c r="P65" i="7"/>
  <c r="M534" i="7"/>
  <c r="P534" i="7" s="1"/>
  <c r="P536" i="7"/>
  <c r="K423" i="7"/>
  <c r="I412" i="7"/>
  <c r="K412" i="7" s="1"/>
  <c r="T378" i="2"/>
  <c r="M493" i="6"/>
  <c r="P493" i="6" s="1"/>
  <c r="U119" i="7"/>
  <c r="P333" i="7"/>
  <c r="P173" i="7"/>
  <c r="P579" i="1"/>
  <c r="O175" i="6"/>
  <c r="L534" i="6"/>
  <c r="O534" i="6" s="1"/>
  <c r="R728" i="6"/>
  <c r="U728" i="6" s="1"/>
  <c r="S20" i="7"/>
  <c r="S18" i="7" s="1"/>
  <c r="L303" i="7"/>
  <c r="O303" i="7" s="1"/>
  <c r="P24" i="7"/>
  <c r="R690" i="7"/>
  <c r="U690" i="7" s="1"/>
  <c r="T141" i="7"/>
  <c r="Q139" i="7"/>
  <c r="T139" i="7" s="1"/>
  <c r="K82" i="7"/>
  <c r="I70" i="7"/>
  <c r="K70" i="7" s="1"/>
  <c r="O268" i="7"/>
  <c r="L266" i="7"/>
  <c r="O266" i="7" s="1"/>
  <c r="U415" i="7"/>
  <c r="R413" i="7"/>
  <c r="U413" i="7" s="1"/>
  <c r="T495" i="6"/>
  <c r="Q20" i="7"/>
  <c r="T23" i="7"/>
  <c r="Q21" i="7"/>
  <c r="M44" i="7"/>
  <c r="P46" i="7"/>
  <c r="Q94" i="7"/>
  <c r="T94" i="7" s="1"/>
  <c r="T96" i="7"/>
  <c r="T26" i="7"/>
  <c r="Q24" i="7"/>
  <c r="T24" i="7" s="1"/>
  <c r="P305" i="7"/>
  <c r="M303" i="7"/>
  <c r="P303" i="7" s="1"/>
  <c r="U618" i="7"/>
  <c r="R117" i="7"/>
  <c r="U117" i="7" s="1"/>
  <c r="P576" i="3"/>
  <c r="T119" i="3"/>
  <c r="L72" i="5"/>
  <c r="O72" i="5" s="1"/>
  <c r="L282" i="5"/>
  <c r="O282" i="5" s="1"/>
  <c r="P189" i="6"/>
  <c r="L282" i="6"/>
  <c r="O282" i="6" s="1"/>
  <c r="R760" i="6"/>
  <c r="U760" i="6" s="1"/>
  <c r="P356" i="6"/>
  <c r="N21" i="7"/>
  <c r="P21" i="7" s="1"/>
  <c r="M59" i="7"/>
  <c r="P59" i="7" s="1"/>
  <c r="P61" i="7"/>
  <c r="S21" i="7"/>
  <c r="I71" i="7"/>
  <c r="K71" i="7" s="1"/>
  <c r="K83" i="7"/>
  <c r="O59" i="7"/>
  <c r="U268" i="7"/>
  <c r="R266" i="7"/>
  <c r="U266" i="7" s="1"/>
  <c r="L173" i="7"/>
  <c r="O173" i="7" s="1"/>
  <c r="O175" i="7"/>
  <c r="Q117" i="7"/>
  <c r="T117" i="7" s="1"/>
  <c r="T119" i="7"/>
  <c r="Q413" i="7"/>
  <c r="T413" i="7" s="1"/>
  <c r="T601" i="7"/>
  <c r="Q599" i="7"/>
  <c r="T599" i="7" s="1"/>
  <c r="L576" i="7"/>
  <c r="O576" i="7" s="1"/>
  <c r="R24" i="7"/>
  <c r="U24" i="7" s="1"/>
  <c r="U26" i="7"/>
  <c r="M72" i="7"/>
  <c r="P72" i="7" s="1"/>
  <c r="P74" i="7"/>
  <c r="O415" i="1"/>
  <c r="U306" i="1"/>
  <c r="R690" i="3"/>
  <c r="U690" i="3" s="1"/>
  <c r="K83" i="4"/>
  <c r="T378" i="4"/>
  <c r="O46" i="5"/>
  <c r="T269" i="5"/>
  <c r="U269" i="5"/>
  <c r="T728" i="5"/>
  <c r="O189" i="6"/>
  <c r="U120" i="6"/>
  <c r="O59" i="6"/>
  <c r="O413" i="6"/>
  <c r="Q690" i="6"/>
  <c r="T690" i="6" s="1"/>
  <c r="U731" i="6"/>
  <c r="L21" i="7"/>
  <c r="L20" i="7"/>
  <c r="O23" i="7"/>
  <c r="P23" i="7"/>
  <c r="M20" i="7"/>
  <c r="P20" i="7" s="1"/>
  <c r="O123" i="7"/>
  <c r="L94" i="7"/>
  <c r="O94" i="7" s="1"/>
  <c r="N44" i="7"/>
  <c r="O61" i="7"/>
  <c r="O188" i="7"/>
  <c r="M513" i="7"/>
  <c r="P513" i="7" s="1"/>
  <c r="M186" i="7"/>
  <c r="P186" i="7" s="1"/>
  <c r="R616" i="7"/>
  <c r="U616" i="7" s="1"/>
  <c r="M59" i="1"/>
  <c r="O320" i="3"/>
  <c r="M186" i="4"/>
  <c r="P186" i="4" s="1"/>
  <c r="T186" i="5"/>
  <c r="R599" i="5"/>
  <c r="U599" i="5" s="1"/>
  <c r="U96" i="6"/>
  <c r="U117" i="6"/>
  <c r="P175" i="6"/>
  <c r="P358" i="6"/>
  <c r="L513" i="6"/>
  <c r="O513" i="6" s="1"/>
  <c r="O415" i="6"/>
  <c r="T188" i="6"/>
  <c r="O336" i="6"/>
  <c r="Q642" i="6"/>
  <c r="T642" i="6" s="1"/>
  <c r="R21" i="7"/>
  <c r="R20" i="7"/>
  <c r="U23" i="7"/>
  <c r="L117" i="7"/>
  <c r="O117" i="7" s="1"/>
  <c r="O333" i="7"/>
  <c r="Q157" i="7"/>
  <c r="T157" i="7" s="1"/>
  <c r="T159" i="7"/>
  <c r="P26" i="7"/>
  <c r="I231" i="7"/>
  <c r="K242" i="7"/>
  <c r="P284" i="7"/>
  <c r="M282" i="7"/>
  <c r="P282" i="7" s="1"/>
  <c r="M320" i="7"/>
  <c r="P320" i="7" s="1"/>
  <c r="Q392" i="7"/>
  <c r="T392" i="7" s="1"/>
  <c r="Q186" i="7"/>
  <c r="T186" i="7" s="1"/>
  <c r="T188" i="7"/>
  <c r="R642" i="7"/>
  <c r="U642" i="7" s="1"/>
  <c r="Q616" i="7"/>
  <c r="T616" i="7" s="1"/>
  <c r="T618" i="7"/>
  <c r="R117" i="1"/>
  <c r="S493" i="1"/>
  <c r="U493" i="1" s="1"/>
  <c r="L117" i="5"/>
  <c r="O117" i="5" s="1"/>
  <c r="M139" i="5"/>
  <c r="P139" i="5" s="1"/>
  <c r="T96" i="6"/>
  <c r="M117" i="6"/>
  <c r="P117" i="6" s="1"/>
  <c r="O358" i="6"/>
  <c r="O335" i="6"/>
  <c r="U119" i="6"/>
  <c r="Q599" i="6"/>
  <c r="T599" i="6" s="1"/>
  <c r="L24" i="7"/>
  <c r="O24" i="7" s="1"/>
  <c r="O26" i="7"/>
  <c r="P19" i="7"/>
  <c r="L157" i="7"/>
  <c r="O157" i="7" s="1"/>
  <c r="U306" i="7"/>
  <c r="M139" i="7"/>
  <c r="P139" i="7" s="1"/>
  <c r="T175" i="7"/>
  <c r="Q173" i="7"/>
  <c r="T173" i="7" s="1"/>
  <c r="O415" i="7"/>
  <c r="L413" i="7"/>
  <c r="O413" i="7" s="1"/>
  <c r="K332" i="7"/>
  <c r="Q760" i="7"/>
  <c r="T760" i="7" s="1"/>
  <c r="P359" i="7"/>
  <c r="O176" i="5"/>
  <c r="L534" i="5"/>
  <c r="O534" i="5" s="1"/>
  <c r="R303" i="6"/>
  <c r="U303" i="6" s="1"/>
  <c r="O599" i="6"/>
  <c r="N333" i="6"/>
  <c r="O333" i="6" s="1"/>
  <c r="L493" i="6"/>
  <c r="O493" i="6" s="1"/>
  <c r="O495" i="6"/>
  <c r="T618" i="6"/>
  <c r="U644" i="6"/>
  <c r="R642" i="6"/>
  <c r="U642" i="6" s="1"/>
  <c r="K242" i="5"/>
  <c r="P576" i="5"/>
  <c r="P186" i="6"/>
  <c r="U266" i="6"/>
  <c r="R690" i="6"/>
  <c r="U690" i="6" s="1"/>
  <c r="O269" i="1"/>
  <c r="R72" i="5"/>
  <c r="U72" i="5" s="1"/>
  <c r="T690" i="5"/>
  <c r="U731" i="5"/>
  <c r="R24" i="6"/>
  <c r="U24" i="6" s="1"/>
  <c r="T416" i="6"/>
  <c r="U616" i="5"/>
  <c r="P333" i="6"/>
  <c r="U377" i="6"/>
  <c r="Q72" i="6"/>
  <c r="T72" i="6" s="1"/>
  <c r="R599" i="6"/>
  <c r="U599" i="6" s="1"/>
  <c r="U616" i="6"/>
  <c r="M375" i="3"/>
  <c r="P375" i="3" s="1"/>
  <c r="M375" i="4"/>
  <c r="P375" i="4" s="1"/>
  <c r="O536" i="4"/>
  <c r="P26" i="5"/>
  <c r="K332" i="5"/>
  <c r="O358" i="5"/>
  <c r="K332" i="6"/>
  <c r="U416" i="6"/>
  <c r="P601" i="6"/>
  <c r="M413" i="6"/>
  <c r="P413" i="6" s="1"/>
  <c r="P415" i="6"/>
  <c r="P335" i="6"/>
  <c r="U618" i="6"/>
  <c r="U141" i="3"/>
  <c r="J458" i="1"/>
  <c r="Q303" i="5"/>
  <c r="T303" i="5" s="1"/>
  <c r="M513" i="5"/>
  <c r="P513" i="5" s="1"/>
  <c r="M139" i="6"/>
  <c r="P139" i="6" s="1"/>
  <c r="L303" i="6"/>
  <c r="O303" i="6" s="1"/>
  <c r="M534" i="6"/>
  <c r="P534" i="6" s="1"/>
  <c r="P356" i="5"/>
  <c r="M157" i="6"/>
  <c r="P157" i="6" s="1"/>
  <c r="P266" i="5"/>
  <c r="R20" i="6"/>
  <c r="U23" i="6"/>
  <c r="M266" i="6"/>
  <c r="P266" i="6" s="1"/>
  <c r="P268" i="6"/>
  <c r="N21" i="6"/>
  <c r="N20" i="6"/>
  <c r="N18" i="6" s="1"/>
  <c r="L20" i="6"/>
  <c r="O23" i="6"/>
  <c r="O268" i="6"/>
  <c r="L266" i="6"/>
  <c r="O266" i="6" s="1"/>
  <c r="T159" i="6"/>
  <c r="Q157" i="6"/>
  <c r="T157" i="6" s="1"/>
  <c r="M24" i="5"/>
  <c r="P24" i="5" s="1"/>
  <c r="O61" i="5"/>
  <c r="R157" i="5"/>
  <c r="U157" i="5" s="1"/>
  <c r="S375" i="5"/>
  <c r="U375" i="5" s="1"/>
  <c r="P358" i="5"/>
  <c r="T141" i="6"/>
  <c r="Q139" i="6"/>
  <c r="T139" i="6" s="1"/>
  <c r="M44" i="6"/>
  <c r="T175" i="6"/>
  <c r="Q173" i="6"/>
  <c r="T173" i="6" s="1"/>
  <c r="S21" i="6"/>
  <c r="P322" i="6"/>
  <c r="M320" i="6"/>
  <c r="P320" i="6" s="1"/>
  <c r="O356" i="6"/>
  <c r="L320" i="6"/>
  <c r="O320" i="6" s="1"/>
  <c r="T268" i="6"/>
  <c r="O557" i="6"/>
  <c r="L555" i="6"/>
  <c r="O555" i="6" s="1"/>
  <c r="S534" i="1"/>
  <c r="T159" i="3"/>
  <c r="S356" i="1"/>
  <c r="T416" i="1"/>
  <c r="O61" i="1"/>
  <c r="R21" i="1"/>
  <c r="P96" i="2"/>
  <c r="S59" i="1"/>
  <c r="L513" i="3"/>
  <c r="O513" i="3" s="1"/>
  <c r="N714" i="1"/>
  <c r="M513" i="3"/>
  <c r="P513" i="3" s="1"/>
  <c r="U119" i="4"/>
  <c r="U690" i="4"/>
  <c r="T690" i="4"/>
  <c r="O175" i="4"/>
  <c r="P336" i="4"/>
  <c r="Q72" i="5"/>
  <c r="T72" i="5" s="1"/>
  <c r="T616" i="5"/>
  <c r="P602" i="5"/>
  <c r="Q392" i="5"/>
  <c r="T392" i="5" s="1"/>
  <c r="O62" i="5"/>
  <c r="O335" i="5"/>
  <c r="L232" i="5"/>
  <c r="P23" i="6"/>
  <c r="M20" i="6"/>
  <c r="L117" i="6"/>
  <c r="O117" i="6" s="1"/>
  <c r="M21" i="6"/>
  <c r="Q94" i="6"/>
  <c r="T94" i="6" s="1"/>
  <c r="R94" i="6"/>
  <c r="U94" i="6" s="1"/>
  <c r="L139" i="6"/>
  <c r="O139" i="6" s="1"/>
  <c r="O141" i="6"/>
  <c r="O46" i="6"/>
  <c r="L44" i="6"/>
  <c r="Q303" i="6"/>
  <c r="T303" i="6" s="1"/>
  <c r="L232" i="6"/>
  <c r="O243" i="6"/>
  <c r="O601" i="6"/>
  <c r="O188" i="6"/>
  <c r="U269" i="3"/>
  <c r="P26" i="6"/>
  <c r="T26" i="6"/>
  <c r="Q24" i="6"/>
  <c r="T24" i="6" s="1"/>
  <c r="U415" i="6"/>
  <c r="R413" i="6"/>
  <c r="U413" i="6" s="1"/>
  <c r="P599" i="6"/>
  <c r="M555" i="6"/>
  <c r="P555" i="6" s="1"/>
  <c r="P557" i="6"/>
  <c r="R392" i="5"/>
  <c r="U392" i="5" s="1"/>
  <c r="O322" i="2"/>
  <c r="N333" i="1"/>
  <c r="R173" i="1"/>
  <c r="U173" i="1" s="1"/>
  <c r="O356" i="2"/>
  <c r="O96" i="3"/>
  <c r="T619" i="2"/>
  <c r="O377" i="3"/>
  <c r="O173" i="4"/>
  <c r="M282" i="4"/>
  <c r="P282" i="4" s="1"/>
  <c r="N44" i="5"/>
  <c r="O44" i="5" s="1"/>
  <c r="T173" i="5"/>
  <c r="O186" i="5"/>
  <c r="O601" i="5"/>
  <c r="T730" i="5"/>
  <c r="R282" i="1"/>
  <c r="U282" i="1" s="1"/>
  <c r="R21" i="6"/>
  <c r="I71" i="6"/>
  <c r="K71" i="6" s="1"/>
  <c r="K83" i="6"/>
  <c r="M24" i="6"/>
  <c r="P24" i="6" s="1"/>
  <c r="M59" i="6"/>
  <c r="P59" i="6" s="1"/>
  <c r="P96" i="6"/>
  <c r="R157" i="6"/>
  <c r="U157" i="6" s="1"/>
  <c r="O359" i="6"/>
  <c r="P284" i="6"/>
  <c r="M282" i="6"/>
  <c r="P282" i="6" s="1"/>
  <c r="U268" i="6"/>
  <c r="I412" i="6"/>
  <c r="K412" i="6" s="1"/>
  <c r="K423" i="6"/>
  <c r="R173" i="6"/>
  <c r="U173" i="6" s="1"/>
  <c r="P602" i="6"/>
  <c r="N24" i="1"/>
  <c r="I231" i="2"/>
  <c r="K231" i="2" s="1"/>
  <c r="O579" i="1"/>
  <c r="O515" i="2"/>
  <c r="U413" i="2"/>
  <c r="M413" i="1"/>
  <c r="U94" i="3"/>
  <c r="Q117" i="3"/>
  <c r="T117" i="3" s="1"/>
  <c r="U375" i="3"/>
  <c r="T141" i="3"/>
  <c r="M555" i="4"/>
  <c r="P555" i="4" s="1"/>
  <c r="T731" i="3"/>
  <c r="U117" i="5"/>
  <c r="O413" i="5"/>
  <c r="O96" i="6"/>
  <c r="L94" i="6"/>
  <c r="O94" i="6" s="1"/>
  <c r="Q20" i="6"/>
  <c r="T23" i="6"/>
  <c r="Q21" i="6"/>
  <c r="L21" i="6"/>
  <c r="M94" i="6"/>
  <c r="P94" i="6" s="1"/>
  <c r="O186" i="6"/>
  <c r="I70" i="6"/>
  <c r="K70" i="6" s="1"/>
  <c r="K82" i="6"/>
  <c r="I231" i="6"/>
  <c r="K242" i="6"/>
  <c r="P188" i="6"/>
  <c r="Q413" i="6"/>
  <c r="T413" i="6" s="1"/>
  <c r="Q117" i="6"/>
  <c r="T117" i="6" s="1"/>
  <c r="T119" i="6"/>
  <c r="Q760" i="6"/>
  <c r="T760" i="6" s="1"/>
  <c r="L157" i="6"/>
  <c r="O157" i="6" s="1"/>
  <c r="O59" i="5"/>
  <c r="T139" i="5"/>
  <c r="O333" i="5"/>
  <c r="P176" i="2"/>
  <c r="K374" i="3"/>
  <c r="U176" i="5"/>
  <c r="T141" i="5"/>
  <c r="P159" i="5"/>
  <c r="P335" i="5"/>
  <c r="Q599" i="5"/>
  <c r="T599" i="5" s="1"/>
  <c r="T189" i="1"/>
  <c r="M642" i="1"/>
  <c r="P642" i="1" s="1"/>
  <c r="P142" i="3"/>
  <c r="K83" i="3"/>
  <c r="T763" i="3"/>
  <c r="T188" i="4"/>
  <c r="S20" i="5"/>
  <c r="S18" i="5" s="1"/>
  <c r="U120" i="5"/>
  <c r="U306" i="5"/>
  <c r="O243" i="5"/>
  <c r="M320" i="5"/>
  <c r="P320" i="5" s="1"/>
  <c r="T176" i="5"/>
  <c r="U728" i="5"/>
  <c r="P333" i="5"/>
  <c r="T378" i="5"/>
  <c r="M493" i="5"/>
  <c r="P493" i="5" s="1"/>
  <c r="T693" i="5"/>
  <c r="U119" i="5"/>
  <c r="R728" i="3"/>
  <c r="U728" i="3" s="1"/>
  <c r="U377" i="5"/>
  <c r="T495" i="1"/>
  <c r="S760" i="2"/>
  <c r="T760" i="2" s="1"/>
  <c r="P142" i="5"/>
  <c r="K374" i="5"/>
  <c r="P268" i="5"/>
  <c r="P578" i="5"/>
  <c r="T120" i="5"/>
  <c r="L72" i="4"/>
  <c r="O72" i="4" s="1"/>
  <c r="T26" i="1"/>
  <c r="U284" i="1"/>
  <c r="T142" i="1"/>
  <c r="U415" i="1"/>
  <c r="M303" i="2"/>
  <c r="P303" i="2" s="1"/>
  <c r="O142" i="3"/>
  <c r="P579" i="3"/>
  <c r="M117" i="3"/>
  <c r="P117" i="3" s="1"/>
  <c r="R72" i="4"/>
  <c r="U72" i="4" s="1"/>
  <c r="U188" i="4"/>
  <c r="L320" i="4"/>
  <c r="O320" i="4" s="1"/>
  <c r="Q392" i="4"/>
  <c r="T392" i="4" s="1"/>
  <c r="K374" i="4"/>
  <c r="O495" i="3"/>
  <c r="I70" i="4"/>
  <c r="K70" i="4" s="1"/>
  <c r="L356" i="5"/>
  <c r="O356" i="5" s="1"/>
  <c r="U186" i="5"/>
  <c r="T306" i="5"/>
  <c r="O415" i="5"/>
  <c r="O599" i="5"/>
  <c r="U618" i="5"/>
  <c r="R493" i="5"/>
  <c r="U493" i="5" s="1"/>
  <c r="U495" i="5"/>
  <c r="M555" i="5"/>
  <c r="P555" i="5" s="1"/>
  <c r="Q392" i="2"/>
  <c r="T392" i="2" s="1"/>
  <c r="M72" i="5"/>
  <c r="P72" i="5" s="1"/>
  <c r="P74" i="5"/>
  <c r="R139" i="5"/>
  <c r="U139" i="5" s="1"/>
  <c r="U141" i="5"/>
  <c r="R24" i="5"/>
  <c r="U24" i="5" s="1"/>
  <c r="U26" i="5"/>
  <c r="R642" i="5"/>
  <c r="U642" i="5" s="1"/>
  <c r="U644" i="5"/>
  <c r="S690" i="1"/>
  <c r="S576" i="1"/>
  <c r="O339" i="1"/>
  <c r="P377" i="2"/>
  <c r="U188" i="3"/>
  <c r="O188" i="3"/>
  <c r="O24" i="3"/>
  <c r="M534" i="3"/>
  <c r="P534" i="3" s="1"/>
  <c r="L513" i="4"/>
  <c r="O513" i="4" s="1"/>
  <c r="U618" i="4"/>
  <c r="Q20" i="5"/>
  <c r="T23" i="5"/>
  <c r="Q21" i="5"/>
  <c r="T19" i="5"/>
  <c r="L24" i="5"/>
  <c r="O24" i="5" s="1"/>
  <c r="O26" i="5"/>
  <c r="U188" i="5"/>
  <c r="O305" i="5"/>
  <c r="L303" i="5"/>
  <c r="O303" i="5" s="1"/>
  <c r="T188" i="5"/>
  <c r="I185" i="5"/>
  <c r="K185" i="5" s="1"/>
  <c r="K231" i="5"/>
  <c r="P359" i="5"/>
  <c r="L576" i="5"/>
  <c r="O576" i="5" s="1"/>
  <c r="O578" i="5"/>
  <c r="L375" i="5"/>
  <c r="O375" i="5" s="1"/>
  <c r="O377" i="5"/>
  <c r="L493" i="5"/>
  <c r="O493" i="5" s="1"/>
  <c r="O495" i="5"/>
  <c r="T618" i="5"/>
  <c r="Q139" i="3"/>
  <c r="T139" i="3" s="1"/>
  <c r="N21" i="5"/>
  <c r="P21" i="5" s="1"/>
  <c r="N20" i="5"/>
  <c r="N18" i="5" s="1"/>
  <c r="P188" i="5"/>
  <c r="M186" i="5"/>
  <c r="P186" i="5" s="1"/>
  <c r="T268" i="5"/>
  <c r="Q266" i="5"/>
  <c r="T266" i="5" s="1"/>
  <c r="L760" i="1"/>
  <c r="O760" i="1" s="1"/>
  <c r="R714" i="1"/>
  <c r="U714" i="1" s="1"/>
  <c r="K484" i="1"/>
  <c r="T693" i="1"/>
  <c r="T75" i="1"/>
  <c r="P65" i="2"/>
  <c r="U120" i="1"/>
  <c r="R19" i="1"/>
  <c r="U19" i="1" s="1"/>
  <c r="P578" i="3"/>
  <c r="L493" i="3"/>
  <c r="O493" i="3" s="1"/>
  <c r="Q72" i="4"/>
  <c r="T72" i="4" s="1"/>
  <c r="L157" i="4"/>
  <c r="O157" i="4" s="1"/>
  <c r="R94" i="4"/>
  <c r="U94" i="4" s="1"/>
  <c r="T415" i="4"/>
  <c r="O601" i="4"/>
  <c r="T269" i="3"/>
  <c r="P358" i="4"/>
  <c r="T692" i="4"/>
  <c r="O335" i="4"/>
  <c r="L21" i="5"/>
  <c r="L20" i="5"/>
  <c r="O23" i="5"/>
  <c r="P23" i="5"/>
  <c r="M20" i="5"/>
  <c r="S21" i="5"/>
  <c r="I71" i="5"/>
  <c r="K71" i="5" s="1"/>
  <c r="K83" i="5"/>
  <c r="O189" i="5"/>
  <c r="O188" i="5"/>
  <c r="T495" i="5"/>
  <c r="Q493" i="5"/>
  <c r="T493" i="5" s="1"/>
  <c r="M534" i="5"/>
  <c r="P534" i="5" s="1"/>
  <c r="M599" i="5"/>
  <c r="P599" i="5" s="1"/>
  <c r="R21" i="5"/>
  <c r="R20" i="5"/>
  <c r="U23" i="5"/>
  <c r="Q94" i="5"/>
  <c r="T94" i="5" s="1"/>
  <c r="T96" i="5"/>
  <c r="O175" i="5"/>
  <c r="L173" i="5"/>
  <c r="O173" i="5" s="1"/>
  <c r="R690" i="5"/>
  <c r="U690" i="5" s="1"/>
  <c r="U692" i="5"/>
  <c r="Q760" i="5"/>
  <c r="T760" i="5" s="1"/>
  <c r="T762" i="5"/>
  <c r="P339" i="1"/>
  <c r="U118" i="1"/>
  <c r="O61" i="2"/>
  <c r="P61" i="3"/>
  <c r="R375" i="4"/>
  <c r="U375" i="4" s="1"/>
  <c r="P536" i="4"/>
  <c r="Q599" i="4"/>
  <c r="T599" i="4" s="1"/>
  <c r="M44" i="5"/>
  <c r="P46" i="5"/>
  <c r="Q117" i="5"/>
  <c r="T117" i="5" s="1"/>
  <c r="T119" i="5"/>
  <c r="Q157" i="5"/>
  <c r="T157" i="5" s="1"/>
  <c r="T159" i="5"/>
  <c r="L94" i="5"/>
  <c r="O94" i="5" s="1"/>
  <c r="U175" i="5"/>
  <c r="R173" i="5"/>
  <c r="U173" i="5" s="1"/>
  <c r="U268" i="5"/>
  <c r="R266" i="5"/>
  <c r="U266" i="5" s="1"/>
  <c r="P415" i="5"/>
  <c r="M413" i="5"/>
  <c r="P413" i="5" s="1"/>
  <c r="N493" i="1"/>
  <c r="U619" i="2"/>
  <c r="N59" i="1"/>
  <c r="O59" i="1" s="1"/>
  <c r="U75" i="1"/>
  <c r="U26" i="1"/>
  <c r="T97" i="1"/>
  <c r="P284" i="1"/>
  <c r="T619" i="1"/>
  <c r="J457" i="1"/>
  <c r="J456" i="1" s="1"/>
  <c r="K456" i="1" s="1"/>
  <c r="S333" i="1"/>
  <c r="U142" i="3"/>
  <c r="T268" i="3"/>
  <c r="M356" i="3"/>
  <c r="P356" i="3" s="1"/>
  <c r="Q599" i="3"/>
  <c r="T599" i="3" s="1"/>
  <c r="P495" i="3"/>
  <c r="T119" i="4"/>
  <c r="M59" i="5"/>
  <c r="P59" i="5" s="1"/>
  <c r="P61" i="5"/>
  <c r="L139" i="5"/>
  <c r="O139" i="5" s="1"/>
  <c r="O141" i="5"/>
  <c r="P19" i="5"/>
  <c r="O159" i="5"/>
  <c r="L157" i="5"/>
  <c r="O157" i="5" s="1"/>
  <c r="T26" i="5"/>
  <c r="Q24" i="5"/>
  <c r="T24" i="5" s="1"/>
  <c r="M173" i="5"/>
  <c r="P173" i="5" s="1"/>
  <c r="P175" i="5"/>
  <c r="K82" i="5"/>
  <c r="I70" i="5"/>
  <c r="K70" i="5" s="1"/>
  <c r="L320" i="5"/>
  <c r="O320" i="5" s="1"/>
  <c r="T415" i="5"/>
  <c r="S413" i="5"/>
  <c r="U413" i="5" s="1"/>
  <c r="L266" i="5"/>
  <c r="O266" i="5" s="1"/>
  <c r="O268" i="5"/>
  <c r="L555" i="5"/>
  <c r="O555" i="5" s="1"/>
  <c r="T117" i="4"/>
  <c r="T618" i="3"/>
  <c r="T728" i="4"/>
  <c r="P269" i="1"/>
  <c r="N59" i="4"/>
  <c r="O59" i="4" s="1"/>
  <c r="P335" i="4"/>
  <c r="R642" i="4"/>
  <c r="U642" i="4" s="1"/>
  <c r="N333" i="4"/>
  <c r="O333" i="4" s="1"/>
  <c r="U186" i="2"/>
  <c r="R642" i="2"/>
  <c r="U642" i="2" s="1"/>
  <c r="L282" i="3"/>
  <c r="O282" i="3" s="1"/>
  <c r="S714" i="1"/>
  <c r="O46" i="2"/>
  <c r="T186" i="2"/>
  <c r="R760" i="1"/>
  <c r="R599" i="2"/>
  <c r="U599" i="2" s="1"/>
  <c r="Q356" i="1"/>
  <c r="T356" i="1" s="1"/>
  <c r="P322" i="2"/>
  <c r="T120" i="3"/>
  <c r="O97" i="3"/>
  <c r="U21" i="4"/>
  <c r="Q173" i="4"/>
  <c r="T173" i="4" s="1"/>
  <c r="O189" i="4"/>
  <c r="M513" i="4"/>
  <c r="P513" i="4" s="1"/>
  <c r="P141" i="3"/>
  <c r="M320" i="4"/>
  <c r="P320" i="4" s="1"/>
  <c r="P268" i="4"/>
  <c r="O284" i="1"/>
  <c r="U120" i="2"/>
  <c r="N599" i="1"/>
  <c r="U145" i="1"/>
  <c r="L173" i="1"/>
  <c r="R157" i="2"/>
  <c r="U157" i="2" s="1"/>
  <c r="P323" i="3"/>
  <c r="O46" i="3"/>
  <c r="O46" i="4"/>
  <c r="T141" i="4"/>
  <c r="Q157" i="4"/>
  <c r="T157" i="4" s="1"/>
  <c r="Q266" i="4"/>
  <c r="T266" i="4" s="1"/>
  <c r="P266" i="4"/>
  <c r="J615" i="4"/>
  <c r="K615" i="4" s="1"/>
  <c r="T762" i="4"/>
  <c r="M599" i="4"/>
  <c r="P599" i="4" s="1"/>
  <c r="P75" i="3"/>
  <c r="O602" i="1"/>
  <c r="O496" i="1"/>
  <c r="P285" i="1"/>
  <c r="T145" i="1"/>
  <c r="U123" i="1"/>
  <c r="N320" i="1"/>
  <c r="Q413" i="3"/>
  <c r="T413" i="3" s="1"/>
  <c r="O141" i="3"/>
  <c r="P601" i="3"/>
  <c r="Q392" i="3"/>
  <c r="T392" i="3" s="1"/>
  <c r="P496" i="2"/>
  <c r="U119" i="1"/>
  <c r="M493" i="3"/>
  <c r="P493" i="3" s="1"/>
  <c r="P495" i="1"/>
  <c r="P46" i="4"/>
  <c r="U141" i="4"/>
  <c r="R173" i="4"/>
  <c r="U173" i="4" s="1"/>
  <c r="L493" i="4"/>
  <c r="O493" i="4" s="1"/>
  <c r="U619" i="4"/>
  <c r="L555" i="4"/>
  <c r="O555" i="4" s="1"/>
  <c r="U24" i="4"/>
  <c r="O333" i="2"/>
  <c r="M157" i="2"/>
  <c r="P157" i="2" s="1"/>
  <c r="P74" i="3"/>
  <c r="L186" i="3"/>
  <c r="O186" i="3" s="1"/>
  <c r="M555" i="3"/>
  <c r="P555" i="3" s="1"/>
  <c r="O285" i="1"/>
  <c r="O19" i="4"/>
  <c r="M59" i="4"/>
  <c r="Q94" i="4"/>
  <c r="T94" i="4" s="1"/>
  <c r="T26" i="4"/>
  <c r="Q24" i="4"/>
  <c r="T24" i="4" s="1"/>
  <c r="Q186" i="4"/>
  <c r="T186" i="4" s="1"/>
  <c r="L375" i="4"/>
  <c r="O375" i="4" s="1"/>
  <c r="L186" i="4"/>
  <c r="O186" i="4" s="1"/>
  <c r="L232" i="4"/>
  <c r="Q413" i="4"/>
  <c r="T413" i="4" s="1"/>
  <c r="U616" i="4"/>
  <c r="R728" i="4"/>
  <c r="U728" i="4" s="1"/>
  <c r="M493" i="1"/>
  <c r="L72" i="2"/>
  <c r="O72" i="2" s="1"/>
  <c r="P335" i="2"/>
  <c r="O415" i="2"/>
  <c r="M616" i="1"/>
  <c r="P616" i="1" s="1"/>
  <c r="R173" i="3"/>
  <c r="U173" i="3" s="1"/>
  <c r="M282" i="3"/>
  <c r="P282" i="3" s="1"/>
  <c r="L356" i="3"/>
  <c r="O356" i="3" s="1"/>
  <c r="O72" i="3"/>
  <c r="P141" i="4"/>
  <c r="U19" i="4"/>
  <c r="M139" i="4"/>
  <c r="P139" i="4" s="1"/>
  <c r="P19" i="4"/>
  <c r="L117" i="4"/>
  <c r="O117" i="4" s="1"/>
  <c r="M117" i="4"/>
  <c r="P117" i="4" s="1"/>
  <c r="Q493" i="4"/>
  <c r="T493" i="4" s="1"/>
  <c r="T495" i="4"/>
  <c r="K423" i="4"/>
  <c r="I412" i="4"/>
  <c r="K412" i="4" s="1"/>
  <c r="R186" i="4"/>
  <c r="U186" i="4" s="1"/>
  <c r="O268" i="4"/>
  <c r="L266" i="4"/>
  <c r="O266" i="4" s="1"/>
  <c r="M413" i="4"/>
  <c r="P413" i="4" s="1"/>
  <c r="P415" i="4"/>
  <c r="Q642" i="4"/>
  <c r="T642" i="4" s="1"/>
  <c r="T139" i="4"/>
  <c r="M44" i="4"/>
  <c r="Q375" i="4"/>
  <c r="T375" i="4" s="1"/>
  <c r="T377" i="4"/>
  <c r="T119" i="1"/>
  <c r="P65" i="1"/>
  <c r="T496" i="2"/>
  <c r="N157" i="1"/>
  <c r="P188" i="2"/>
  <c r="M139" i="3"/>
  <c r="P139" i="3" s="1"/>
  <c r="O305" i="3"/>
  <c r="U730" i="2"/>
  <c r="K332" i="3"/>
  <c r="T496" i="3"/>
  <c r="L20" i="4"/>
  <c r="L18" i="4" s="1"/>
  <c r="O23" i="4"/>
  <c r="N20" i="4"/>
  <c r="N18" i="4" s="1"/>
  <c r="P159" i="4"/>
  <c r="M157" i="4"/>
  <c r="P157" i="4" s="1"/>
  <c r="M72" i="4"/>
  <c r="P72" i="4" s="1"/>
  <c r="R117" i="4"/>
  <c r="U117" i="4" s="1"/>
  <c r="R139" i="4"/>
  <c r="U139" i="4" s="1"/>
  <c r="L24" i="4"/>
  <c r="O24" i="4" s="1"/>
  <c r="U305" i="4"/>
  <c r="M24" i="4"/>
  <c r="P24" i="4" s="1"/>
  <c r="I231" i="4"/>
  <c r="K242" i="4"/>
  <c r="T618" i="4"/>
  <c r="Q616" i="4"/>
  <c r="T616" i="4" s="1"/>
  <c r="P305" i="4"/>
  <c r="M303" i="4"/>
  <c r="P303" i="4" s="1"/>
  <c r="L282" i="4"/>
  <c r="O282" i="4" s="1"/>
  <c r="M333" i="4"/>
  <c r="L303" i="4"/>
  <c r="O303" i="4" s="1"/>
  <c r="Q139" i="2"/>
  <c r="T139" i="2" s="1"/>
  <c r="U496" i="2"/>
  <c r="U496" i="3"/>
  <c r="T306" i="1"/>
  <c r="K701" i="3"/>
  <c r="U188" i="1"/>
  <c r="Q20" i="4"/>
  <c r="T23" i="4"/>
  <c r="Q21" i="4"/>
  <c r="T21" i="4" s="1"/>
  <c r="R20" i="4"/>
  <c r="R18" i="4" s="1"/>
  <c r="U23" i="4"/>
  <c r="P23" i="4"/>
  <c r="M20" i="4"/>
  <c r="M18" i="4" s="1"/>
  <c r="U26" i="4"/>
  <c r="R157" i="4"/>
  <c r="U157" i="4" s="1"/>
  <c r="M21" i="4"/>
  <c r="P21" i="4" s="1"/>
  <c r="T189" i="4"/>
  <c r="O415" i="4"/>
  <c r="L413" i="4"/>
  <c r="O413" i="4" s="1"/>
  <c r="T303" i="4"/>
  <c r="O139" i="4"/>
  <c r="U268" i="4"/>
  <c r="R266" i="4"/>
  <c r="U266" i="4" s="1"/>
  <c r="R303" i="4"/>
  <c r="U303" i="4" s="1"/>
  <c r="L576" i="4"/>
  <c r="O576" i="4" s="1"/>
  <c r="O578" i="4"/>
  <c r="M493" i="4"/>
  <c r="P493" i="4" s="1"/>
  <c r="P97" i="1"/>
  <c r="U269" i="2"/>
  <c r="S117" i="1"/>
  <c r="O188" i="2"/>
  <c r="U120" i="3"/>
  <c r="P96" i="3"/>
  <c r="O141" i="4"/>
  <c r="S20" i="4"/>
  <c r="S18" i="4" s="1"/>
  <c r="L21" i="4"/>
  <c r="O21" i="4" s="1"/>
  <c r="M94" i="4"/>
  <c r="P94" i="4" s="1"/>
  <c r="P175" i="4"/>
  <c r="M173" i="4"/>
  <c r="P173" i="4" s="1"/>
  <c r="O44" i="4"/>
  <c r="U415" i="4"/>
  <c r="R413" i="4"/>
  <c r="U413" i="4" s="1"/>
  <c r="P189" i="4"/>
  <c r="T305" i="4"/>
  <c r="M356" i="4"/>
  <c r="P356" i="4" s="1"/>
  <c r="R493" i="4"/>
  <c r="U493" i="4" s="1"/>
  <c r="L356" i="4"/>
  <c r="O356" i="4" s="1"/>
  <c r="O358" i="4"/>
  <c r="L94" i="4"/>
  <c r="O94" i="4" s="1"/>
  <c r="U269" i="4"/>
  <c r="S760" i="4"/>
  <c r="U760" i="4" s="1"/>
  <c r="M576" i="4"/>
  <c r="P576" i="4" s="1"/>
  <c r="U305" i="3"/>
  <c r="L375" i="3"/>
  <c r="O375" i="3" s="1"/>
  <c r="U97" i="1"/>
  <c r="N728" i="1"/>
  <c r="O306" i="1"/>
  <c r="N94" i="3"/>
  <c r="O94" i="3" s="1"/>
  <c r="T97" i="3"/>
  <c r="R266" i="3"/>
  <c r="U266" i="3" s="1"/>
  <c r="O415" i="3"/>
  <c r="K457" i="3"/>
  <c r="Q493" i="3"/>
  <c r="T493" i="3" s="1"/>
  <c r="T188" i="2"/>
  <c r="T378" i="3"/>
  <c r="U762" i="3"/>
  <c r="R728" i="1"/>
  <c r="U728" i="1" s="1"/>
  <c r="P46" i="1"/>
  <c r="L19" i="1"/>
  <c r="O19" i="1" s="1"/>
  <c r="M117" i="2"/>
  <c r="P117" i="2" s="1"/>
  <c r="L413" i="2"/>
  <c r="O413" i="2" s="1"/>
  <c r="T692" i="1"/>
  <c r="P602" i="1"/>
  <c r="P306" i="1"/>
  <c r="O176" i="2"/>
  <c r="U266" i="2"/>
  <c r="P515" i="2"/>
  <c r="M375" i="2"/>
  <c r="P375" i="2" s="1"/>
  <c r="M599" i="2"/>
  <c r="P599" i="2" s="1"/>
  <c r="T763" i="2"/>
  <c r="P414" i="1"/>
  <c r="U119" i="2"/>
  <c r="S413" i="1"/>
  <c r="T413" i="1" s="1"/>
  <c r="P176" i="1"/>
  <c r="L173" i="3"/>
  <c r="O173" i="3" s="1"/>
  <c r="L139" i="3"/>
  <c r="O139" i="3" s="1"/>
  <c r="P26" i="3"/>
  <c r="M94" i="3"/>
  <c r="O322" i="3"/>
  <c r="O26" i="3"/>
  <c r="N356" i="1"/>
  <c r="P356" i="1" s="1"/>
  <c r="R139" i="2"/>
  <c r="U139" i="2" s="1"/>
  <c r="Q599" i="2"/>
  <c r="T599" i="2" s="1"/>
  <c r="P495" i="2"/>
  <c r="L117" i="3"/>
  <c r="O117" i="3" s="1"/>
  <c r="O159" i="3"/>
  <c r="U21" i="3"/>
  <c r="P335" i="3"/>
  <c r="U760" i="3"/>
  <c r="Q616" i="1"/>
  <c r="T616" i="1" s="1"/>
  <c r="L72" i="1"/>
  <c r="O72" i="1" s="1"/>
  <c r="L282" i="2"/>
  <c r="O282" i="2" s="1"/>
  <c r="R44" i="1"/>
  <c r="U44" i="1" s="1"/>
  <c r="R72" i="2"/>
  <c r="U72" i="2" s="1"/>
  <c r="K701" i="2"/>
  <c r="P578" i="2"/>
  <c r="U731" i="1"/>
  <c r="L513" i="1"/>
  <c r="O513" i="1" s="1"/>
  <c r="P359" i="1"/>
  <c r="L303" i="1"/>
  <c r="O303" i="1" s="1"/>
  <c r="U189" i="1"/>
  <c r="M139" i="2"/>
  <c r="P139" i="2" s="1"/>
  <c r="T189" i="2"/>
  <c r="O416" i="2"/>
  <c r="N513" i="2"/>
  <c r="O513" i="2" s="1"/>
  <c r="O359" i="1"/>
  <c r="O579" i="2"/>
  <c r="U305" i="1"/>
  <c r="R728" i="2"/>
  <c r="U728" i="2" s="1"/>
  <c r="M303" i="3"/>
  <c r="P303" i="3" s="1"/>
  <c r="T375" i="3"/>
  <c r="T762" i="3"/>
  <c r="U378" i="3"/>
  <c r="O74" i="3"/>
  <c r="T693" i="3"/>
  <c r="U72" i="3"/>
  <c r="T72" i="3"/>
  <c r="T303" i="3"/>
  <c r="U303" i="3"/>
  <c r="K440" i="1"/>
  <c r="J423" i="1"/>
  <c r="J412" i="1" s="1"/>
  <c r="K412" i="1" s="1"/>
  <c r="Q20" i="3"/>
  <c r="T23" i="3"/>
  <c r="Q21" i="3"/>
  <c r="T21" i="3" s="1"/>
  <c r="T305" i="1"/>
  <c r="P326" i="1"/>
  <c r="P123" i="1"/>
  <c r="P26" i="1"/>
  <c r="U174" i="1"/>
  <c r="O65" i="1"/>
  <c r="P75" i="1"/>
  <c r="N20" i="1"/>
  <c r="O174" i="1"/>
  <c r="U692" i="2"/>
  <c r="O578" i="2"/>
  <c r="N576" i="2"/>
  <c r="P576" i="2" s="1"/>
  <c r="N493" i="2"/>
  <c r="P493" i="2" s="1"/>
  <c r="U378" i="2"/>
  <c r="N642" i="1"/>
  <c r="P322" i="1"/>
  <c r="L20" i="3"/>
  <c r="O23" i="3"/>
  <c r="L21" i="3"/>
  <c r="R117" i="3"/>
  <c r="U117" i="3" s="1"/>
  <c r="R24" i="3"/>
  <c r="U24" i="3" s="1"/>
  <c r="O268" i="3"/>
  <c r="R139" i="3"/>
  <c r="U139" i="3" s="1"/>
  <c r="N21" i="3"/>
  <c r="P21" i="3" s="1"/>
  <c r="N20" i="3"/>
  <c r="N18" i="3" s="1"/>
  <c r="L333" i="3"/>
  <c r="O333" i="3" s="1"/>
  <c r="Q94" i="3"/>
  <c r="T94" i="3" s="1"/>
  <c r="T305" i="3"/>
  <c r="P416" i="3"/>
  <c r="Q690" i="3"/>
  <c r="T690" i="3" s="1"/>
  <c r="U416" i="3"/>
  <c r="O44" i="3"/>
  <c r="Q616" i="3"/>
  <c r="T616" i="3" s="1"/>
  <c r="S186" i="3"/>
  <c r="T186" i="3" s="1"/>
  <c r="K475" i="1"/>
  <c r="K615" i="1"/>
  <c r="O26" i="1"/>
  <c r="S24" i="1"/>
  <c r="M186" i="2"/>
  <c r="P186" i="2" s="1"/>
  <c r="K374" i="2"/>
  <c r="O495" i="2"/>
  <c r="L117" i="1"/>
  <c r="O117" i="1" s="1"/>
  <c r="R20" i="3"/>
  <c r="U23" i="3"/>
  <c r="M59" i="3"/>
  <c r="P59" i="3" s="1"/>
  <c r="P97" i="3"/>
  <c r="M72" i="3"/>
  <c r="P72" i="3" s="1"/>
  <c r="T188" i="3"/>
  <c r="Q173" i="3"/>
  <c r="T173" i="3" s="1"/>
  <c r="T175" i="3"/>
  <c r="K253" i="3"/>
  <c r="I231" i="3"/>
  <c r="U601" i="3"/>
  <c r="R599" i="3"/>
  <c r="U599" i="3" s="1"/>
  <c r="L576" i="3"/>
  <c r="O576" i="3" s="1"/>
  <c r="R642" i="3"/>
  <c r="U642" i="3" s="1"/>
  <c r="T74" i="3"/>
  <c r="R616" i="3"/>
  <c r="U616" i="3" s="1"/>
  <c r="U618" i="3"/>
  <c r="S303" i="1"/>
  <c r="T188" i="1"/>
  <c r="S20" i="1"/>
  <c r="U188" i="2"/>
  <c r="L94" i="1"/>
  <c r="O94" i="1" s="1"/>
  <c r="M555" i="2"/>
  <c r="P555" i="2" s="1"/>
  <c r="S20" i="3"/>
  <c r="S18" i="3" s="1"/>
  <c r="L59" i="3"/>
  <c r="O59" i="3" s="1"/>
  <c r="O61" i="3"/>
  <c r="L232" i="3"/>
  <c r="O243" i="3"/>
  <c r="O266" i="3"/>
  <c r="L157" i="3"/>
  <c r="O157" i="3" s="1"/>
  <c r="P266" i="3"/>
  <c r="P268" i="3"/>
  <c r="M320" i="3"/>
  <c r="P320" i="3" s="1"/>
  <c r="P322" i="3"/>
  <c r="O416" i="3"/>
  <c r="P415" i="3"/>
  <c r="M413" i="3"/>
  <c r="P413" i="3" s="1"/>
  <c r="O601" i="3"/>
  <c r="L599" i="3"/>
  <c r="O599" i="3" s="1"/>
  <c r="P23" i="3"/>
  <c r="M20" i="3"/>
  <c r="P159" i="3"/>
  <c r="M157" i="3"/>
  <c r="P157" i="3" s="1"/>
  <c r="M44" i="3"/>
  <c r="L728" i="1"/>
  <c r="O728" i="1" s="1"/>
  <c r="L555" i="1"/>
  <c r="O555" i="1" s="1"/>
  <c r="P416" i="1"/>
  <c r="U377" i="1"/>
  <c r="M534" i="2"/>
  <c r="P534" i="2" s="1"/>
  <c r="P358" i="2"/>
  <c r="U74" i="3"/>
  <c r="M186" i="3"/>
  <c r="P186" i="3" s="1"/>
  <c r="P188" i="3"/>
  <c r="M24" i="3"/>
  <c r="P24" i="3" s="1"/>
  <c r="R157" i="3"/>
  <c r="U157" i="3" s="1"/>
  <c r="Q24" i="3"/>
  <c r="T24" i="3" s="1"/>
  <c r="T26" i="3"/>
  <c r="L413" i="3"/>
  <c r="O413" i="3" s="1"/>
  <c r="Q760" i="3"/>
  <c r="T760" i="3" s="1"/>
  <c r="P359" i="3"/>
  <c r="L534" i="3"/>
  <c r="O534" i="3" s="1"/>
  <c r="O536" i="3"/>
  <c r="L555" i="3"/>
  <c r="O555" i="3" s="1"/>
  <c r="O557" i="3"/>
  <c r="T644" i="3"/>
  <c r="Q642" i="3"/>
  <c r="T642" i="3" s="1"/>
  <c r="O97" i="1"/>
  <c r="Q44" i="1"/>
  <c r="T44" i="1" s="1"/>
  <c r="T616" i="2"/>
  <c r="K632" i="1"/>
  <c r="U762" i="1"/>
  <c r="L24" i="1"/>
  <c r="U25" i="1"/>
  <c r="O175" i="2"/>
  <c r="R117" i="2"/>
  <c r="U117" i="2" s="1"/>
  <c r="L186" i="2"/>
  <c r="O186" i="2" s="1"/>
  <c r="T375" i="2"/>
  <c r="T415" i="2"/>
  <c r="M186" i="1"/>
  <c r="P186" i="1" s="1"/>
  <c r="O358" i="2"/>
  <c r="K701" i="1"/>
  <c r="U693" i="1"/>
  <c r="O305" i="2"/>
  <c r="O359" i="2"/>
  <c r="S375" i="1"/>
  <c r="K82" i="2"/>
  <c r="I70" i="2"/>
  <c r="K70" i="2" s="1"/>
  <c r="U535" i="1"/>
  <c r="R534" i="1"/>
  <c r="U534" i="1" s="1"/>
  <c r="L117" i="2"/>
  <c r="O117" i="2" s="1"/>
  <c r="P268" i="2"/>
  <c r="Q493" i="1"/>
  <c r="O62" i="1"/>
  <c r="P62" i="1"/>
  <c r="Q173" i="2"/>
  <c r="T173" i="2" s="1"/>
  <c r="S555" i="1"/>
  <c r="U690" i="2"/>
  <c r="L282" i="1"/>
  <c r="O282" i="1" s="1"/>
  <c r="M760" i="1"/>
  <c r="P760" i="1" s="1"/>
  <c r="Q690" i="1"/>
  <c r="Q173" i="1"/>
  <c r="T173" i="1" s="1"/>
  <c r="Q72" i="2"/>
  <c r="T72" i="2" s="1"/>
  <c r="P356" i="2"/>
  <c r="N760" i="1"/>
  <c r="K168" i="1"/>
  <c r="I169" i="1"/>
  <c r="K169" i="1" s="1"/>
  <c r="Q157" i="2"/>
  <c r="T157" i="2" s="1"/>
  <c r="T159" i="2"/>
  <c r="U304" i="1"/>
  <c r="R303" i="1"/>
  <c r="P95" i="1"/>
  <c r="M94" i="1"/>
  <c r="P94" i="1" s="1"/>
  <c r="Q117" i="1"/>
  <c r="M44" i="2"/>
  <c r="P46" i="2"/>
  <c r="S20" i="2"/>
  <c r="S18" i="2" s="1"/>
  <c r="N44" i="2"/>
  <c r="N40" i="2" s="1"/>
  <c r="R94" i="2"/>
  <c r="U94" i="2" s="1"/>
  <c r="P26" i="2"/>
  <c r="O266" i="2"/>
  <c r="L375" i="2"/>
  <c r="O375" i="2" s="1"/>
  <c r="O377" i="2"/>
  <c r="O335" i="2"/>
  <c r="P320" i="2"/>
  <c r="P175" i="2"/>
  <c r="U762" i="2"/>
  <c r="R760" i="2"/>
  <c r="P335" i="1"/>
  <c r="M333" i="1"/>
  <c r="P334" i="1"/>
  <c r="L534" i="2"/>
  <c r="O534" i="2" s="1"/>
  <c r="T715" i="1"/>
  <c r="Q714" i="1"/>
  <c r="T714" i="1" s="1"/>
  <c r="M576" i="1"/>
  <c r="P576" i="1" s="1"/>
  <c r="P577" i="1"/>
  <c r="P23" i="2"/>
  <c r="M20" i="2"/>
  <c r="M21" i="2"/>
  <c r="O159" i="2"/>
  <c r="L157" i="2"/>
  <c r="O157" i="2" s="1"/>
  <c r="T495" i="2"/>
  <c r="Q493" i="2"/>
  <c r="T493" i="2" s="1"/>
  <c r="L534" i="1"/>
  <c r="O534" i="1" s="1"/>
  <c r="O535" i="1"/>
  <c r="M375" i="1"/>
  <c r="P376" i="1"/>
  <c r="O326" i="1"/>
  <c r="L139" i="2"/>
  <c r="O139" i="2" s="1"/>
  <c r="O141" i="2"/>
  <c r="P173" i="2"/>
  <c r="L493" i="1"/>
  <c r="O494" i="1"/>
  <c r="M555" i="1"/>
  <c r="P555" i="1" s="1"/>
  <c r="O377" i="1"/>
  <c r="O142" i="1"/>
  <c r="R24" i="2"/>
  <c r="U24" i="2" s="1"/>
  <c r="U26" i="2"/>
  <c r="P19" i="2"/>
  <c r="P415" i="2"/>
  <c r="M413" i="2"/>
  <c r="P413" i="2" s="1"/>
  <c r="O601" i="1"/>
  <c r="M333" i="2"/>
  <c r="P333" i="2" s="1"/>
  <c r="T730" i="2"/>
  <c r="Q728" i="2"/>
  <c r="T728" i="2" s="1"/>
  <c r="Q266" i="1"/>
  <c r="T266" i="1" s="1"/>
  <c r="T267" i="1"/>
  <c r="R21" i="2"/>
  <c r="U21" i="2" s="1"/>
  <c r="R20" i="2"/>
  <c r="U23" i="2"/>
  <c r="Q117" i="2"/>
  <c r="T117" i="2" s="1"/>
  <c r="T119" i="2"/>
  <c r="Q20" i="2"/>
  <c r="T23" i="2"/>
  <c r="Q21" i="2"/>
  <c r="T21" i="2" s="1"/>
  <c r="M59" i="2"/>
  <c r="P59" i="2" s="1"/>
  <c r="P61" i="2"/>
  <c r="N21" i="2"/>
  <c r="N20" i="2"/>
  <c r="N18" i="2" s="1"/>
  <c r="O59" i="2"/>
  <c r="O173" i="2"/>
  <c r="I71" i="2"/>
  <c r="K71" i="2" s="1"/>
  <c r="K83" i="2"/>
  <c r="R375" i="2"/>
  <c r="U375" i="2" s="1"/>
  <c r="U377" i="2"/>
  <c r="U645" i="1"/>
  <c r="Q392" i="1"/>
  <c r="T392" i="1" s="1"/>
  <c r="M72" i="2"/>
  <c r="P72" i="2" s="1"/>
  <c r="P74" i="2"/>
  <c r="T26" i="2"/>
  <c r="Q24" i="2"/>
  <c r="T24" i="2" s="1"/>
  <c r="M282" i="2"/>
  <c r="P282" i="2" s="1"/>
  <c r="P284" i="2"/>
  <c r="Q94" i="2"/>
  <c r="T94" i="2" s="1"/>
  <c r="T96" i="2"/>
  <c r="L232" i="2"/>
  <c r="O243" i="2"/>
  <c r="Q413" i="2"/>
  <c r="T413" i="2" s="1"/>
  <c r="L555" i="2"/>
  <c r="O555" i="2" s="1"/>
  <c r="U95" i="1"/>
  <c r="R94" i="1"/>
  <c r="U94" i="1" s="1"/>
  <c r="Q642" i="2"/>
  <c r="T642" i="2" s="1"/>
  <c r="T644" i="2"/>
  <c r="P601" i="1"/>
  <c r="K626" i="1"/>
  <c r="P142" i="1"/>
  <c r="P266" i="2"/>
  <c r="T645" i="1"/>
  <c r="O416" i="1"/>
  <c r="T123" i="1"/>
  <c r="T120" i="1"/>
  <c r="L21" i="2"/>
  <c r="L20" i="2"/>
  <c r="O23" i="2"/>
  <c r="T19" i="2"/>
  <c r="M24" i="2"/>
  <c r="P24" i="2" s="1"/>
  <c r="L24" i="2"/>
  <c r="O24" i="2" s="1"/>
  <c r="O26" i="2"/>
  <c r="L94" i="2"/>
  <c r="O94" i="2" s="1"/>
  <c r="L320" i="2"/>
  <c r="O320" i="2" s="1"/>
  <c r="O268" i="2"/>
  <c r="P359" i="2"/>
  <c r="T305" i="2"/>
  <c r="Q303" i="2"/>
  <c r="T303" i="2" s="1"/>
  <c r="M513" i="2"/>
  <c r="Q690" i="2"/>
  <c r="T690" i="2" s="1"/>
  <c r="T692" i="2"/>
  <c r="N173" i="1"/>
  <c r="O175" i="1"/>
  <c r="T578" i="1"/>
  <c r="Q576" i="1"/>
  <c r="T576" i="1" s="1"/>
  <c r="T266" i="2"/>
  <c r="K82" i="1"/>
  <c r="I70" i="1"/>
  <c r="K70" i="1" s="1"/>
  <c r="R616" i="2"/>
  <c r="U616" i="2" s="1"/>
  <c r="U618" i="2"/>
  <c r="Q728" i="1"/>
  <c r="T728" i="1" s="1"/>
  <c r="T761" i="1"/>
  <c r="Q760" i="1"/>
  <c r="U578" i="1"/>
  <c r="R576" i="1"/>
  <c r="U576" i="1" s="1"/>
  <c r="P141" i="1"/>
  <c r="M139" i="1"/>
  <c r="P139" i="1" s="1"/>
  <c r="Q20" i="1"/>
  <c r="T23" i="1"/>
  <c r="T763" i="1"/>
  <c r="O715" i="1"/>
  <c r="L714" i="1"/>
  <c r="O714" i="1" s="1"/>
  <c r="Q534" i="1"/>
  <c r="T534" i="1" s="1"/>
  <c r="T535" i="1"/>
  <c r="P691" i="1"/>
  <c r="M690" i="1"/>
  <c r="P690" i="1" s="1"/>
  <c r="O600" i="1"/>
  <c r="L599" i="1"/>
  <c r="M534" i="1"/>
  <c r="P534" i="1" s="1"/>
  <c r="P536" i="1"/>
  <c r="Q94" i="1"/>
  <c r="T94" i="1" s="1"/>
  <c r="T95" i="1"/>
  <c r="Q186" i="1"/>
  <c r="T186" i="1" s="1"/>
  <c r="T187" i="1"/>
  <c r="P715" i="1"/>
  <c r="M714" i="1"/>
  <c r="P714" i="1" s="1"/>
  <c r="T73" i="1"/>
  <c r="Q72" i="1"/>
  <c r="M72" i="1"/>
  <c r="P72" i="1" s="1"/>
  <c r="P74" i="1"/>
  <c r="L392" i="1"/>
  <c r="O392" i="1" s="1"/>
  <c r="O393" i="1"/>
  <c r="U187" i="1"/>
  <c r="R186" i="1"/>
  <c r="U186" i="1" s="1"/>
  <c r="L20" i="1"/>
  <c r="O23" i="1"/>
  <c r="U142" i="1"/>
  <c r="R375" i="1"/>
  <c r="U376" i="1"/>
  <c r="L157" i="1"/>
  <c r="S72" i="1"/>
  <c r="U72" i="1" s="1"/>
  <c r="T74" i="1"/>
  <c r="U691" i="1"/>
  <c r="R690" i="1"/>
  <c r="O187" i="1"/>
  <c r="L186" i="1"/>
  <c r="O186" i="1" s="1"/>
  <c r="U140" i="1"/>
  <c r="R139" i="1"/>
  <c r="U139" i="1" s="1"/>
  <c r="P321" i="1"/>
  <c r="M320" i="1"/>
  <c r="O335" i="1"/>
  <c r="L333" i="1"/>
  <c r="T60" i="1"/>
  <c r="Q59" i="1"/>
  <c r="T59" i="1" s="1"/>
  <c r="O75" i="1"/>
  <c r="L375" i="1"/>
  <c r="O376" i="1"/>
  <c r="R20" i="1"/>
  <c r="U23" i="1"/>
  <c r="M513" i="1"/>
  <c r="P513" i="1" s="1"/>
  <c r="O141" i="1"/>
  <c r="O46" i="1"/>
  <c r="U74" i="1"/>
  <c r="L21" i="1"/>
  <c r="O268" i="1"/>
  <c r="L266" i="1"/>
  <c r="O266" i="1" s="1"/>
  <c r="P393" i="1"/>
  <c r="M392" i="1"/>
  <c r="P392" i="1" s="1"/>
  <c r="Q375" i="1"/>
  <c r="T377" i="1"/>
  <c r="O358" i="1"/>
  <c r="L356" i="1"/>
  <c r="O139" i="1"/>
  <c r="P174" i="1"/>
  <c r="M173" i="1"/>
  <c r="S21" i="1"/>
  <c r="S19" i="1"/>
  <c r="T304" i="1"/>
  <c r="Q303" i="1"/>
  <c r="L413" i="1"/>
  <c r="O414" i="1"/>
  <c r="N21" i="1"/>
  <c r="N19" i="1"/>
  <c r="P415" i="1"/>
  <c r="N413" i="1"/>
  <c r="P22" i="1"/>
  <c r="M21" i="1"/>
  <c r="M19" i="1"/>
  <c r="N44" i="1"/>
  <c r="O44" i="1" s="1"/>
  <c r="P23" i="1"/>
  <c r="M20" i="1"/>
  <c r="U763" i="1"/>
  <c r="U618" i="1"/>
  <c r="R616" i="1"/>
  <c r="U616" i="1" s="1"/>
  <c r="R555" i="1"/>
  <c r="U555" i="1" s="1"/>
  <c r="R513" i="1"/>
  <c r="U513" i="1" s="1"/>
  <c r="P600" i="1"/>
  <c r="M599" i="1"/>
  <c r="L616" i="1"/>
  <c r="O616" i="1" s="1"/>
  <c r="P496" i="1"/>
  <c r="P729" i="1"/>
  <c r="M728" i="1"/>
  <c r="P728" i="1" s="1"/>
  <c r="U643" i="1"/>
  <c r="R642" i="1"/>
  <c r="U642" i="1" s="1"/>
  <c r="O578" i="1"/>
  <c r="L576" i="1"/>
  <c r="O576" i="1" s="1"/>
  <c r="T556" i="1"/>
  <c r="Q555" i="1"/>
  <c r="T555" i="1" s="1"/>
  <c r="R392" i="1"/>
  <c r="U392" i="1" s="1"/>
  <c r="U393" i="1"/>
  <c r="M282" i="1"/>
  <c r="P282" i="1" s="1"/>
  <c r="P283" i="1"/>
  <c r="T158" i="1"/>
  <c r="Q157" i="1"/>
  <c r="T157" i="1" s="1"/>
  <c r="O322" i="1"/>
  <c r="L320" i="1"/>
  <c r="T283" i="1"/>
  <c r="Q282" i="1"/>
  <c r="T282" i="1" s="1"/>
  <c r="U358" i="1"/>
  <c r="R356" i="1"/>
  <c r="U356" i="1" s="1"/>
  <c r="S760" i="1"/>
  <c r="T762" i="1"/>
  <c r="T643" i="1"/>
  <c r="Q642" i="1"/>
  <c r="T642" i="1" s="1"/>
  <c r="T22" i="1"/>
  <c r="Q21" i="1"/>
  <c r="Q19" i="1"/>
  <c r="K83" i="1"/>
  <c r="I71" i="1"/>
  <c r="K71" i="1" s="1"/>
  <c r="P377" i="1"/>
  <c r="N375" i="1"/>
  <c r="M266" i="1"/>
  <c r="P266" i="1" s="1"/>
  <c r="P267" i="1"/>
  <c r="P25" i="1"/>
  <c r="M24" i="1"/>
  <c r="M303" i="1"/>
  <c r="P303" i="1" s="1"/>
  <c r="R24" i="1"/>
  <c r="R333" i="1"/>
  <c r="U333" i="1" s="1"/>
  <c r="U335" i="1"/>
  <c r="O643" i="1"/>
  <c r="L642" i="1"/>
  <c r="O642" i="1" s="1"/>
  <c r="T600" i="1"/>
  <c r="Q599" i="1"/>
  <c r="T599" i="1" s="1"/>
  <c r="O691" i="1"/>
  <c r="L690" i="1"/>
  <c r="O690" i="1" s="1"/>
  <c r="U322" i="1"/>
  <c r="R320" i="1"/>
  <c r="U320" i="1" s="1"/>
  <c r="R599" i="1"/>
  <c r="U599" i="1" s="1"/>
  <c r="U600" i="1"/>
  <c r="U268" i="1"/>
  <c r="R266" i="1"/>
  <c r="U266" i="1" s="1"/>
  <c r="T334" i="1"/>
  <c r="Q333" i="1"/>
  <c r="T333" i="1" s="1"/>
  <c r="R157" i="1"/>
  <c r="U157" i="1" s="1"/>
  <c r="U60" i="1"/>
  <c r="R59" i="1"/>
  <c r="U59" i="1" s="1"/>
  <c r="T25" i="1"/>
  <c r="Q24" i="1"/>
  <c r="Q139" i="1"/>
  <c r="T139" i="1" s="1"/>
  <c r="T140" i="1"/>
  <c r="R413" i="1"/>
  <c r="U414" i="1"/>
  <c r="P118" i="1"/>
  <c r="M117" i="1"/>
  <c r="P117" i="1" s="1"/>
  <c r="M157" i="1"/>
  <c r="Q320" i="1"/>
  <c r="T320" i="1" s="1"/>
  <c r="T321" i="1"/>
  <c r="M18" i="7" l="1"/>
  <c r="P18" i="7" s="1"/>
  <c r="T616" i="14"/>
  <c r="K231" i="13"/>
  <c r="T616" i="8"/>
  <c r="P356" i="15"/>
  <c r="U18" i="15"/>
  <c r="U375" i="12"/>
  <c r="T616" i="11"/>
  <c r="O356" i="12"/>
  <c r="O282" i="15"/>
  <c r="P21" i="15"/>
  <c r="U20" i="12"/>
  <c r="T266" i="15"/>
  <c r="O59" i="15"/>
  <c r="P94" i="15"/>
  <c r="N40" i="15"/>
  <c r="K231" i="15"/>
  <c r="I185" i="15"/>
  <c r="K185" i="15" s="1"/>
  <c r="U139" i="15"/>
  <c r="Q18" i="15"/>
  <c r="T18" i="15" s="1"/>
  <c r="T20" i="15"/>
  <c r="P44" i="11"/>
  <c r="L40" i="15"/>
  <c r="N40" i="14"/>
  <c r="O20" i="15"/>
  <c r="L18" i="15"/>
  <c r="O18" i="15" s="1"/>
  <c r="P20" i="15"/>
  <c r="M18" i="15"/>
  <c r="P18" i="15" s="1"/>
  <c r="O333" i="15"/>
  <c r="P333" i="15"/>
  <c r="U690" i="15"/>
  <c r="T690" i="15"/>
  <c r="U728" i="7"/>
  <c r="T21" i="14"/>
  <c r="U20" i="15"/>
  <c r="M40" i="15"/>
  <c r="P44" i="15"/>
  <c r="U413" i="11"/>
  <c r="T21" i="15"/>
  <c r="U375" i="15"/>
  <c r="O493" i="15"/>
  <c r="P493" i="15"/>
  <c r="T20" i="14"/>
  <c r="P21" i="14"/>
  <c r="P20" i="13"/>
  <c r="U20" i="14"/>
  <c r="P18" i="14"/>
  <c r="O18" i="14"/>
  <c r="O20" i="14"/>
  <c r="U303" i="14"/>
  <c r="T303" i="14"/>
  <c r="T18" i="14"/>
  <c r="K231" i="14"/>
  <c r="I185" i="14"/>
  <c r="K185" i="14" s="1"/>
  <c r="M40" i="14"/>
  <c r="P44" i="14"/>
  <c r="U18" i="14"/>
  <c r="O94" i="14"/>
  <c r="L40" i="14"/>
  <c r="O21" i="13"/>
  <c r="P20" i="14"/>
  <c r="N40" i="13"/>
  <c r="P59" i="13"/>
  <c r="T18" i="13"/>
  <c r="T20" i="13"/>
  <c r="U18" i="12"/>
  <c r="U413" i="13"/>
  <c r="T413" i="13"/>
  <c r="U20" i="13"/>
  <c r="R18" i="13"/>
  <c r="U18" i="13" s="1"/>
  <c r="T266" i="11"/>
  <c r="L40" i="13"/>
  <c r="U21" i="13"/>
  <c r="O20" i="13"/>
  <c r="L18" i="13"/>
  <c r="O18" i="13" s="1"/>
  <c r="P18" i="4"/>
  <c r="M40" i="13"/>
  <c r="P44" i="13"/>
  <c r="T21" i="8"/>
  <c r="T21" i="13"/>
  <c r="M18" i="13"/>
  <c r="P18" i="13" s="1"/>
  <c r="P21" i="12"/>
  <c r="P18" i="11"/>
  <c r="O20" i="11"/>
  <c r="T117" i="12"/>
  <c r="T20" i="12"/>
  <c r="Q18" i="12"/>
  <c r="T18" i="12" s="1"/>
  <c r="U21" i="8"/>
  <c r="P59" i="10"/>
  <c r="P173" i="11"/>
  <c r="P356" i="12"/>
  <c r="L40" i="12"/>
  <c r="O40" i="12" s="1"/>
  <c r="O44" i="12"/>
  <c r="K231" i="12"/>
  <c r="I185" i="12"/>
  <c r="K185" i="12" s="1"/>
  <c r="P20" i="12"/>
  <c r="M18" i="12"/>
  <c r="P18" i="12" s="1"/>
  <c r="O20" i="12"/>
  <c r="L18" i="12"/>
  <c r="O18" i="12" s="1"/>
  <c r="O21" i="11"/>
  <c r="T21" i="12"/>
  <c r="O20" i="10"/>
  <c r="M40" i="12"/>
  <c r="P40" i="12" s="1"/>
  <c r="U21" i="1"/>
  <c r="P72" i="9"/>
  <c r="N40" i="11"/>
  <c r="U690" i="11"/>
  <c r="P186" i="11"/>
  <c r="O375" i="10"/>
  <c r="T20" i="11"/>
  <c r="K231" i="11"/>
  <c r="I185" i="11"/>
  <c r="K185" i="11" s="1"/>
  <c r="L40" i="11"/>
  <c r="U690" i="1"/>
  <c r="U117" i="1"/>
  <c r="U413" i="8"/>
  <c r="L18" i="11"/>
  <c r="O18" i="11" s="1"/>
  <c r="Q18" i="11"/>
  <c r="T18" i="11" s="1"/>
  <c r="P20" i="11"/>
  <c r="U20" i="11"/>
  <c r="O21" i="9"/>
  <c r="T20" i="10"/>
  <c r="P59" i="11"/>
  <c r="M40" i="11"/>
  <c r="P20" i="10"/>
  <c r="P186" i="10"/>
  <c r="Q18" i="10"/>
  <c r="T18" i="10" s="1"/>
  <c r="R18" i="11"/>
  <c r="U18" i="11" s="1"/>
  <c r="R18" i="10"/>
  <c r="U18" i="10" s="1"/>
  <c r="O266" i="9"/>
  <c r="M18" i="10"/>
  <c r="P18" i="10" s="1"/>
  <c r="K231" i="10"/>
  <c r="I185" i="10"/>
  <c r="K185" i="10" s="1"/>
  <c r="L40" i="10"/>
  <c r="M40" i="10"/>
  <c r="P44" i="10"/>
  <c r="I185" i="8"/>
  <c r="K185" i="8" s="1"/>
  <c r="P356" i="9"/>
  <c r="O21" i="10"/>
  <c r="N40" i="10"/>
  <c r="T21" i="10"/>
  <c r="N40" i="9"/>
  <c r="L18" i="10"/>
  <c r="O18" i="10" s="1"/>
  <c r="U21" i="10"/>
  <c r="O72" i="9"/>
  <c r="P599" i="1"/>
  <c r="T20" i="9"/>
  <c r="P21" i="9"/>
  <c r="O413" i="9"/>
  <c r="U20" i="9"/>
  <c r="R18" i="9"/>
  <c r="U18" i="9" s="1"/>
  <c r="O20" i="9"/>
  <c r="L18" i="9"/>
  <c r="O18" i="9" s="1"/>
  <c r="T690" i="1"/>
  <c r="P493" i="1"/>
  <c r="T375" i="5"/>
  <c r="P375" i="7"/>
  <c r="M40" i="9"/>
  <c r="P44" i="9"/>
  <c r="K231" i="9"/>
  <c r="I185" i="9"/>
  <c r="K185" i="9" s="1"/>
  <c r="L40" i="9"/>
  <c r="P20" i="9"/>
  <c r="U20" i="8"/>
  <c r="P576" i="9"/>
  <c r="Q18" i="9"/>
  <c r="T18" i="9" s="1"/>
  <c r="O493" i="1"/>
  <c r="P333" i="8"/>
  <c r="T117" i="8"/>
  <c r="M18" i="9"/>
  <c r="P18" i="9" s="1"/>
  <c r="U21" i="6"/>
  <c r="P21" i="8"/>
  <c r="L40" i="8"/>
  <c r="O44" i="8"/>
  <c r="O20" i="8"/>
  <c r="L18" i="8"/>
  <c r="O18" i="8" s="1"/>
  <c r="R18" i="8"/>
  <c r="U18" i="8" s="1"/>
  <c r="N40" i="8"/>
  <c r="O173" i="1"/>
  <c r="P20" i="8"/>
  <c r="M40" i="8"/>
  <c r="P44" i="8"/>
  <c r="O21" i="7"/>
  <c r="O21" i="8"/>
  <c r="P18" i="8"/>
  <c r="Q18" i="8"/>
  <c r="T18" i="8" s="1"/>
  <c r="T20" i="8"/>
  <c r="P513" i="2"/>
  <c r="O21" i="2"/>
  <c r="O21" i="5"/>
  <c r="O24" i="1"/>
  <c r="K231" i="7"/>
  <c r="I185" i="7"/>
  <c r="K185" i="7" s="1"/>
  <c r="O320" i="1"/>
  <c r="P320" i="1"/>
  <c r="P333" i="1"/>
  <c r="U20" i="7"/>
  <c r="R18" i="7"/>
  <c r="U18" i="7" s="1"/>
  <c r="N40" i="7"/>
  <c r="O44" i="7"/>
  <c r="P24" i="1"/>
  <c r="P413" i="1"/>
  <c r="T493" i="1"/>
  <c r="N40" i="3"/>
  <c r="U21" i="7"/>
  <c r="L40" i="7"/>
  <c r="M40" i="7"/>
  <c r="P44" i="7"/>
  <c r="O20" i="7"/>
  <c r="L18" i="7"/>
  <c r="O18" i="7" s="1"/>
  <c r="O333" i="1"/>
  <c r="T20" i="7"/>
  <c r="Q18" i="7"/>
  <c r="T18" i="7" s="1"/>
  <c r="U760" i="2"/>
  <c r="T21" i="7"/>
  <c r="I185" i="2"/>
  <c r="K185" i="2" s="1"/>
  <c r="P20" i="1"/>
  <c r="N40" i="6"/>
  <c r="T20" i="5"/>
  <c r="O21" i="6"/>
  <c r="L40" i="6"/>
  <c r="O44" i="6"/>
  <c r="P21" i="6"/>
  <c r="N40" i="5"/>
  <c r="K231" i="6"/>
  <c r="I185" i="6"/>
  <c r="K185" i="6" s="1"/>
  <c r="T21" i="6"/>
  <c r="P20" i="6"/>
  <c r="M18" i="6"/>
  <c r="P18" i="6" s="1"/>
  <c r="P44" i="6"/>
  <c r="M40" i="6"/>
  <c r="T117" i="1"/>
  <c r="O599" i="1"/>
  <c r="T20" i="6"/>
  <c r="Q18" i="6"/>
  <c r="T18" i="6" s="1"/>
  <c r="O20" i="6"/>
  <c r="L18" i="6"/>
  <c r="O18" i="6" s="1"/>
  <c r="U20" i="6"/>
  <c r="R18" i="6"/>
  <c r="U18" i="6" s="1"/>
  <c r="T413" i="5"/>
  <c r="N18" i="1"/>
  <c r="S18" i="1"/>
  <c r="P59" i="4"/>
  <c r="P20" i="5"/>
  <c r="Q18" i="5"/>
  <c r="T18" i="5" s="1"/>
  <c r="P59" i="1"/>
  <c r="U760" i="1"/>
  <c r="K457" i="1"/>
  <c r="O20" i="5"/>
  <c r="L18" i="5"/>
  <c r="O18" i="5" s="1"/>
  <c r="T303" i="1"/>
  <c r="U303" i="1"/>
  <c r="M40" i="5"/>
  <c r="P44" i="5"/>
  <c r="T21" i="5"/>
  <c r="U20" i="5"/>
  <c r="R18" i="5"/>
  <c r="U18" i="5" s="1"/>
  <c r="U21" i="5"/>
  <c r="L40" i="5"/>
  <c r="K423" i="1"/>
  <c r="M18" i="5"/>
  <c r="P18" i="5" s="1"/>
  <c r="N40" i="4"/>
  <c r="U186" i="3"/>
  <c r="P333" i="4"/>
  <c r="O18" i="4"/>
  <c r="M40" i="4"/>
  <c r="P44" i="4"/>
  <c r="O157" i="1"/>
  <c r="U413" i="1"/>
  <c r="P20" i="4"/>
  <c r="T20" i="4"/>
  <c r="Q18" i="4"/>
  <c r="T18" i="4" s="1"/>
  <c r="K231" i="4"/>
  <c r="I185" i="4"/>
  <c r="K185" i="4" s="1"/>
  <c r="T760" i="4"/>
  <c r="U18" i="4"/>
  <c r="P157" i="1"/>
  <c r="L40" i="4"/>
  <c r="O576" i="2"/>
  <c r="O21" i="3"/>
  <c r="U20" i="4"/>
  <c r="O20" i="4"/>
  <c r="O356" i="1"/>
  <c r="T20" i="1"/>
  <c r="O20" i="1"/>
  <c r="P94" i="3"/>
  <c r="M40" i="3"/>
  <c r="P44" i="3"/>
  <c r="U20" i="3"/>
  <c r="R18" i="3"/>
  <c r="U18" i="3" s="1"/>
  <c r="P21" i="2"/>
  <c r="P20" i="2"/>
  <c r="O493" i="2"/>
  <c r="K231" i="3"/>
  <c r="I185" i="3"/>
  <c r="K185" i="3" s="1"/>
  <c r="L40" i="3"/>
  <c r="O20" i="3"/>
  <c r="L18" i="3"/>
  <c r="O18" i="3" s="1"/>
  <c r="Q18" i="3"/>
  <c r="T18" i="3" s="1"/>
  <c r="T20" i="3"/>
  <c r="P20" i="3"/>
  <c r="M18" i="3"/>
  <c r="P18" i="3" s="1"/>
  <c r="U24" i="1"/>
  <c r="T24" i="1"/>
  <c r="U375" i="1"/>
  <c r="O44" i="2"/>
  <c r="P44" i="1"/>
  <c r="P173" i="1"/>
  <c r="T375" i="1"/>
  <c r="O413" i="1"/>
  <c r="O21" i="1"/>
  <c r="P21" i="1"/>
  <c r="O20" i="2"/>
  <c r="L18" i="2"/>
  <c r="O18" i="2" s="1"/>
  <c r="U20" i="2"/>
  <c r="R18" i="2"/>
  <c r="U18" i="2" s="1"/>
  <c r="M40" i="2"/>
  <c r="P40" i="2" s="1"/>
  <c r="P44" i="2"/>
  <c r="T72" i="1"/>
  <c r="T21" i="1"/>
  <c r="T20" i="2"/>
  <c r="M18" i="2"/>
  <c r="P18" i="2" s="1"/>
  <c r="L40" i="2"/>
  <c r="O40" i="2" s="1"/>
  <c r="P375" i="1"/>
  <c r="Q18" i="2"/>
  <c r="T18" i="2" s="1"/>
  <c r="T19" i="1"/>
  <c r="Q18" i="1"/>
  <c r="U20" i="1"/>
  <c r="R18" i="1"/>
  <c r="O375" i="1"/>
  <c r="P19" i="1"/>
  <c r="M18" i="1"/>
  <c r="L18" i="1"/>
  <c r="T760" i="1"/>
  <c r="P40" i="11" l="1"/>
  <c r="P40" i="15"/>
  <c r="P40" i="13"/>
  <c r="O40" i="15"/>
  <c r="P40" i="14"/>
  <c r="O40" i="14"/>
  <c r="O40" i="13"/>
  <c r="P18" i="1"/>
  <c r="O40" i="7"/>
  <c r="P40" i="9"/>
  <c r="O40" i="11"/>
  <c r="P40" i="10"/>
  <c r="O40" i="10"/>
  <c r="O40" i="9"/>
  <c r="P40" i="3"/>
  <c r="O40" i="3"/>
  <c r="P40" i="8"/>
  <c r="O40" i="8"/>
  <c r="U18" i="1"/>
  <c r="P40" i="6"/>
  <c r="P40" i="7"/>
  <c r="O40" i="6"/>
  <c r="O40" i="5"/>
  <c r="P40" i="5"/>
  <c r="T18" i="1"/>
  <c r="O18" i="1"/>
  <c r="O40" i="4"/>
  <c r="P40" i="4"/>
</calcChain>
</file>

<file path=xl/sharedStrings.xml><?xml version="1.0" encoding="utf-8"?>
<sst xmlns="http://schemas.openxmlformats.org/spreadsheetml/2006/main" count="19735" uniqueCount="335">
  <si>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</si>
  <si>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</si>
  <si>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</si>
  <si>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</si>
  <si>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</si>
  <si>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</si>
  <si>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</si>
  <si>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</si>
  <si>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</si>
  <si>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</si>
  <si>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</si>
  <si>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</si>
  <si>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</si>
  <si>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</si>
  <si>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</si>
  <si>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</si>
  <si>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</si>
  <si>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</si>
  <si>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</si>
  <si>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</si>
  <si>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</si>
  <si>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</si>
  <si>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</si>
  <si>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</si>
  <si>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</si>
  <si>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</si>
  <si>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</si>
  <si>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</si>
  <si>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</si>
  <si>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</si>
  <si>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</si>
  <si>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</si>
  <si>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</si>
  <si>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</si>
  <si>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</si>
  <si>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</si>
  <si>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</si>
  <si>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</si>
  <si>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</si>
  <si>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</si>
  <si>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</si>
  <si>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</si>
  <si>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</si>
  <si>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</si>
  <si>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</si>
  <si>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</si>
  <si>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</si>
  <si>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</si>
  <si>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</si>
  <si>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</si>
  <si>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</si>
  <si>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</si>
  <si>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</si>
  <si>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</si>
  <si>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</si>
  <si>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</si>
  <si>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</si>
  <si>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</si>
  <si>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</si>
  <si>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</si>
  <si>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</si>
  <si>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</si>
  <si>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</si>
  <si>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</si>
  <si>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</si>
  <si>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</si>
  <si>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</si>
  <si>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</si>
  <si>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</si>
  <si>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</si>
  <si>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</si>
  <si>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</si>
  <si>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</si>
  <si>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</si>
  <si>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</si>
  <si>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</si>
  <si>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</si>
  <si>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</si>
  <si>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</si>
  <si>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</si>
  <si>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</si>
  <si>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</si>
  <si>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</si>
  <si>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</si>
  <si>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</si>
  <si>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</si>
  <si>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</si>
  <si>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</si>
  <si>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</si>
  <si>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</si>
  <si>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</si>
  <si>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</si>
  <si>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</si>
  <si>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</si>
  <si>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</si>
  <si>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</si>
  <si>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</si>
  <si>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</si>
  <si>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</si>
  <si>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</si>
  <si>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</si>
  <si>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</si>
  <si>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</si>
  <si>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</si>
  <si>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</si>
  <si>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</si>
  <si>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</si>
  <si>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</si>
  <si>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</si>
  <si>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</si>
  <si>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</si>
  <si>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</si>
  <si>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</si>
  <si>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</si>
  <si>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</si>
  <si>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</si>
  <si>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</si>
  <si>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</si>
  <si>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</si>
  <si>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</si>
  <si>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</si>
  <si>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</si>
  <si>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</si>
  <si>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</si>
  <si>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</si>
  <si>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</si>
  <si>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</si>
  <si>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</si>
  <si>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</si>
  <si>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</si>
  <si>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</si>
  <si>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</si>
  <si>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</si>
  <si>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</si>
  <si>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</si>
  <si>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</si>
  <si>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</si>
  <si>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</si>
  <si>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</si>
  <si>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</si>
  <si>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</si>
  <si>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</si>
  <si>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</si>
  <si>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</si>
  <si>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</si>
  <si>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</si>
  <si>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</si>
  <si>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</si>
  <si>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</si>
  <si>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</si>
  <si>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</si>
  <si>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</si>
  <si>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</si>
  <si>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</si>
  <si>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</si>
  <si>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</si>
  <si>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</si>
  <si>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</si>
  <si>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</si>
  <si>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</si>
  <si>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</si>
  <si>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</si>
  <si>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</si>
  <si>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</si>
  <si>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</si>
  <si>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</si>
  <si>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</si>
  <si>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</si>
  <si>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</si>
  <si>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</si>
  <si>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</si>
  <si>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</si>
  <si>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</si>
  <si>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</si>
  <si>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</si>
  <si>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</si>
  <si>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</si>
  <si>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</si>
  <si>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</si>
  <si>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</si>
  <si>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</si>
  <si>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</si>
  <si>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</si>
  <si>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</si>
  <si>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</si>
  <si>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</si>
  <si>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</si>
  <si>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</si>
  <si>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</si>
  <si>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</si>
  <si>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</si>
  <si>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</si>
  <si>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</si>
  <si>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</si>
  <si>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</si>
  <si>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</si>
  <si>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</si>
  <si>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</si>
  <si>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</si>
  <si>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</si>
  <si>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</si>
  <si>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</si>
  <si>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</si>
  <si>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</si>
  <si>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</si>
  <si>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</si>
  <si>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</si>
  <si>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</si>
  <si>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</si>
  <si>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</si>
  <si>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</si>
  <si>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</si>
  <si>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 xml:space="preserve"> 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</si>
  <si>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</si>
  <si>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</si>
  <si>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</si>
  <si>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</si>
  <si>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</si>
  <si>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</si>
  <si>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</si>
  <si>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</si>
  <si>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</si>
  <si>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</si>
  <si>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</si>
  <si>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</si>
  <si>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</si>
  <si>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</si>
  <si>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</si>
  <si>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</si>
  <si>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</si>
  <si>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</si>
  <si>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</si>
  <si>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</si>
  <si>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</si>
  <si>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</si>
  <si>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</si>
  <si>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</si>
  <si>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</si>
  <si>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</si>
  <si>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</si>
  <si>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</si>
  <si>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</si>
  <si>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</si>
  <si>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</si>
  <si>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</si>
  <si>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</si>
  <si>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</si>
  <si>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</si>
  <si>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</si>
  <si>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</si>
  <si>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</si>
  <si>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</si>
  <si>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</si>
  <si>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</si>
  <si>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</si>
  <si>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</si>
  <si>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</si>
  <si>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</si>
  <si>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</si>
  <si>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</si>
  <si>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</si>
  <si>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</si>
  <si>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</si>
  <si>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</si>
  <si>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</si>
  <si>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</si>
  <si>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</si>
  <si>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</si>
  <si>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</si>
  <si>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</si>
  <si>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</si>
  <si>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</si>
  <si>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</si>
  <si>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</si>
  <si>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</si>
  <si>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</si>
  <si>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</si>
  <si>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</si>
  <si>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</si>
  <si>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</si>
  <si>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</si>
  <si>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</si>
  <si>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</si>
  <si>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</si>
  <si>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</si>
  <si>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</si>
  <si>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</si>
  <si>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</si>
  <si>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</si>
  <si>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</si>
  <si>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</si>
  <si>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</si>
  <si>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</si>
  <si>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</si>
  <si>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</si>
  <si>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</si>
  <si>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</si>
  <si>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</si>
  <si>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</si>
  <si>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</si>
  <si>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</si>
  <si>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</si>
  <si>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</si>
  <si>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</si>
  <si>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</si>
  <si>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</si>
  <si>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</si>
  <si>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</si>
  <si>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</si>
  <si>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</si>
  <si>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แผนงานยุทธศาสตร์พัฒนาและส่งเสริมเศรษฐกิจฐานราก</t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</si>
  <si>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</si>
  <si>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</si>
  <si>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- ค่าจ้างเหมาบริการ</t>
  </si>
  <si>
    <t>- งบบริหารโครงการ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</si>
  <si>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</si>
  <si>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</si>
  <si>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</si>
  <si>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</si>
  <si>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</si>
  <si>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- แล้วเสร็จ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</si>
  <si>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</si>
  <si>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</si>
  <si>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</si>
  <si>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</si>
  <si>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</si>
  <si>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</si>
  <si>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</si>
  <si>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</si>
  <si>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</si>
  <si>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</si>
  <si>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</si>
  <si>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</si>
  <si>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</si>
  <si>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15 กรกฎาคม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</si>
</sst>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1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09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6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6" fontId="5" fillId="6" borderId="2" xfId="0" applyNumberFormat="1" applyFont="1" applyFill="1" applyBorder="1" applyAlignment="1">
      <alignment horizontal="center"/>
    </xf>
    <xf numFmtId="165" fontId="5" fillId="6" borderId="2" xfId="0" applyNumberFormat="1" applyFont="1" applyFill="1" applyBorder="1" applyAlignment="1">
      <alignment horizontal="center" wrapText="1"/>
    </xf>
    <xf numFmtId="166" fontId="5" fillId="7" borderId="2" xfId="0" applyNumberFormat="1" applyFont="1" applyFill="1" applyBorder="1" applyAlignment="1">
      <alignment horizontal="center" wrapText="1"/>
    </xf>
    <xf numFmtId="166" fontId="5" fillId="9" borderId="2" xfId="0" applyNumberFormat="1" applyFont="1" applyFill="1" applyBorder="1" applyAlignment="1">
      <alignment horizontal="center" wrapText="1"/>
    </xf>
    <xf numFmtId="166" fontId="5" fillId="8" borderId="2" xfId="0" applyNumberFormat="1" applyFont="1" applyFill="1" applyBorder="1" applyAlignment="1">
      <alignment horizontal="center"/>
    </xf>
    <xf numFmtId="166" fontId="5" fillId="7" borderId="2" xfId="0" applyNumberFormat="1" applyFont="1" applyFill="1" applyBorder="1" applyAlignment="1">
      <alignment horizontal="center"/>
    </xf>
    <xf numFmtId="166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4" fontId="2" fillId="10" borderId="2" xfId="0" applyNumberFormat="1" applyFont="1" applyFill="1" applyBorder="1"/>
    <xf numFmtId="166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4" fontId="2" fillId="10" borderId="10" xfId="0" applyNumberFormat="1" applyFont="1" applyFill="1" applyBorder="1"/>
    <xf numFmtId="166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4" fontId="2" fillId="11" borderId="2" xfId="0" applyNumberFormat="1" applyFont="1" applyFill="1" applyBorder="1"/>
    <xf numFmtId="166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4" fontId="2" fillId="12" borderId="10" xfId="0" applyNumberFormat="1" applyFont="1" applyFill="1" applyBorder="1"/>
    <xf numFmtId="166" fontId="2" fillId="12" borderId="10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6" fontId="8" fillId="12" borderId="10" xfId="0" applyNumberFormat="1" applyFont="1" applyFill="1" applyBorder="1" applyAlignment="1">
      <alignment horizontal="right"/>
    </xf>
    <xf numFmtId="166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4" fontId="2" fillId="2" borderId="10" xfId="0" applyNumberFormat="1" applyFont="1" applyFill="1" applyBorder="1"/>
    <xf numFmtId="166" fontId="2" fillId="2" borderId="10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4" fontId="2" fillId="13" borderId="2" xfId="0" applyNumberFormat="1" applyFont="1" applyFill="1" applyBorder="1"/>
    <xf numFmtId="166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4" fontId="2" fillId="14" borderId="1" xfId="0" applyNumberFormat="1" applyFont="1" applyFill="1" applyBorder="1"/>
    <xf numFmtId="166" fontId="2" fillId="14" borderId="1" xfId="0" applyNumberFormat="1" applyFont="1" applyFill="1" applyBorder="1"/>
    <xf numFmtId="166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4" fontId="2" fillId="15" borderId="10" xfId="0" applyNumberFormat="1" applyFont="1" applyFill="1" applyBorder="1"/>
    <xf numFmtId="166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4" fontId="2" fillId="16" borderId="10" xfId="0" applyNumberFormat="1" applyFont="1" applyFill="1" applyBorder="1"/>
    <xf numFmtId="166" fontId="2" fillId="16" borderId="10" xfId="0" applyNumberFormat="1" applyFont="1" applyFill="1" applyBorder="1"/>
    <xf numFmtId="166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6" fontId="8" fillId="16" borderId="10" xfId="0" applyNumberFormat="1" applyFont="1" applyFill="1" applyBorder="1" applyAlignment="1">
      <alignment horizontal="right"/>
    </xf>
    <xf numFmtId="166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4" fontId="2" fillId="17" borderId="1" xfId="0" applyNumberFormat="1" applyFont="1" applyFill="1" applyBorder="1"/>
    <xf numFmtId="166" fontId="2" fillId="17" borderId="1" xfId="0" applyNumberFormat="1" applyFont="1" applyFill="1" applyBorder="1"/>
    <xf numFmtId="166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4" fontId="2" fillId="18" borderId="10" xfId="0" applyNumberFormat="1" applyFont="1" applyFill="1" applyBorder="1"/>
    <xf numFmtId="166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4" fontId="2" fillId="19" borderId="10" xfId="0" applyNumberFormat="1" applyFont="1" applyFill="1" applyBorder="1"/>
    <xf numFmtId="166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4" fontId="2" fillId="20" borderId="10" xfId="0" applyNumberFormat="1" applyFont="1" applyFill="1" applyBorder="1"/>
    <xf numFmtId="166" fontId="2" fillId="20" borderId="10" xfId="0" applyNumberFormat="1" applyFont="1" applyFill="1" applyBorder="1"/>
    <xf numFmtId="166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6" fontId="7" fillId="20" borderId="10" xfId="0" applyNumberFormat="1" applyFont="1" applyFill="1" applyBorder="1" applyAlignment="1">
      <alignment horizontal="right"/>
    </xf>
    <xf numFmtId="166" fontId="8" fillId="20" borderId="10" xfId="0" applyNumberFormat="1" applyFont="1" applyFill="1" applyBorder="1" applyAlignment="1">
      <alignment horizontal="right"/>
    </xf>
    <xf numFmtId="166" fontId="7" fillId="2" borderId="2" xfId="0" applyNumberFormat="1" applyFont="1" applyFill="1" applyBorder="1" applyAlignment="1">
      <alignment horizontal="right"/>
    </xf>
    <xf numFmtId="165" fontId="5" fillId="21" borderId="7" xfId="0" applyNumberFormat="1" applyFont="1" applyFill="1" applyBorder="1"/>
    <xf numFmtId="165" fontId="2" fillId="21" borderId="1" xfId="0" applyNumberFormat="1" applyFont="1" applyFill="1" applyBorder="1"/>
    <xf numFmtId="0" fontId="2" fillId="21" borderId="1" xfId="0" applyFont="1" applyFill="1" applyBorder="1"/>
    <xf numFmtId="164" fontId="2" fillId="21" borderId="1" xfId="0" applyNumberFormat="1" applyFont="1" applyFill="1" applyBorder="1"/>
    <xf numFmtId="166" fontId="2" fillId="21" borderId="1" xfId="0" applyNumberFormat="1" applyFont="1" applyFill="1" applyBorder="1"/>
    <xf numFmtId="166" fontId="2" fillId="21" borderId="2" xfId="0" applyNumberFormat="1" applyFont="1" applyFill="1" applyBorder="1"/>
    <xf numFmtId="165" fontId="5" fillId="22" borderId="8" xfId="0" applyNumberFormat="1" applyFont="1" applyFill="1" applyBorder="1"/>
    <xf numFmtId="0" fontId="2" fillId="22" borderId="9" xfId="0" applyFont="1" applyFill="1" applyBorder="1"/>
    <xf numFmtId="165" fontId="2" fillId="22" borderId="9" xfId="0" applyNumberFormat="1" applyFont="1" applyFill="1" applyBorder="1"/>
    <xf numFmtId="0" fontId="2" fillId="22" borderId="10" xfId="0" applyFont="1" applyFill="1" applyBorder="1"/>
    <xf numFmtId="164" fontId="2" fillId="22" borderId="10" xfId="0" applyNumberFormat="1" applyFont="1" applyFill="1" applyBorder="1"/>
    <xf numFmtId="166" fontId="2" fillId="22" borderId="10" xfId="0" applyNumberFormat="1" applyFont="1" applyFill="1" applyBorder="1"/>
    <xf numFmtId="167" fontId="2" fillId="12" borderId="8" xfId="0" applyNumberFormat="1" applyFont="1" applyFill="1" applyBorder="1"/>
    <xf numFmtId="165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4" fontId="5" fillId="12" borderId="10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5" fontId="5" fillId="2" borderId="10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right"/>
    </xf>
    <xf numFmtId="165" fontId="7" fillId="2" borderId="10" xfId="0" applyNumberFormat="1" applyFont="1" applyFill="1" applyBorder="1" applyAlignment="1">
      <alignment horizontal="center"/>
    </xf>
    <xf numFmtId="165" fontId="7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/>
    <xf numFmtId="166" fontId="2" fillId="0" borderId="10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2" fillId="0" borderId="8" xfId="0" applyNumberFormat="1" applyFont="1" applyBorder="1"/>
    <xf numFmtId="165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4" fontId="5" fillId="2" borderId="10" xfId="0" applyNumberFormat="1" applyFont="1" applyFill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65" fontId="2" fillId="22" borderId="10" xfId="0" applyNumberFormat="1" applyFont="1" applyFill="1" applyBorder="1"/>
    <xf numFmtId="165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5" fontId="8" fillId="2" borderId="10" xfId="0" applyNumberFormat="1" applyFont="1" applyFill="1" applyBorder="1" applyAlignment="1">
      <alignment horizontal="center"/>
    </xf>
    <xf numFmtId="165" fontId="2" fillId="2" borderId="9" xfId="0" applyNumberFormat="1" applyFont="1" applyFill="1" applyBorder="1"/>
    <xf numFmtId="165" fontId="8" fillId="0" borderId="10" xfId="0" applyNumberFormat="1" applyFont="1" applyBorder="1" applyAlignment="1">
      <alignment horizontal="center" wrapText="1"/>
    </xf>
    <xf numFmtId="165" fontId="15" fillId="2" borderId="9" xfId="0" applyNumberFormat="1" applyFont="1" applyFill="1" applyBorder="1"/>
    <xf numFmtId="165" fontId="5" fillId="2" borderId="9" xfId="0" applyNumberFormat="1" applyFont="1" applyFill="1" applyBorder="1"/>
    <xf numFmtId="165" fontId="2" fillId="10" borderId="8" xfId="0" applyNumberFormat="1" applyFont="1" applyFill="1" applyBorder="1"/>
    <xf numFmtId="165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4" fontId="7" fillId="24" borderId="10" xfId="0" applyNumberFormat="1" applyFont="1" applyFill="1" applyBorder="1" applyAlignment="1">
      <alignment horizontal="right"/>
    </xf>
    <xf numFmtId="165" fontId="2" fillId="0" borderId="11" xfId="0" applyNumberFormat="1" applyFont="1" applyBorder="1"/>
    <xf numFmtId="165" fontId="2" fillId="0" borderId="12" xfId="0" applyNumberFormat="1" applyFont="1" applyBorder="1"/>
    <xf numFmtId="165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0" fontId="7" fillId="0" borderId="13" xfId="0" applyFont="1" applyBorder="1" applyAlignment="1">
      <alignment horizontal="center"/>
    </xf>
    <xf numFmtId="164" fontId="7" fillId="0" borderId="13" xfId="0" applyNumberFormat="1" applyFont="1" applyBorder="1" applyAlignment="1">
      <alignment horizontal="right"/>
    </xf>
    <xf numFmtId="164" fontId="7" fillId="24" borderId="13" xfId="0" applyNumberFormat="1" applyFont="1" applyFill="1" applyBorder="1" applyAlignment="1">
      <alignment horizontal="right"/>
    </xf>
    <xf numFmtId="166" fontId="7" fillId="2" borderId="13" xfId="0" applyNumberFormat="1" applyFont="1" applyFill="1" applyBorder="1" applyAlignment="1">
      <alignment horizontal="right"/>
    </xf>
    <xf numFmtId="166" fontId="2" fillId="2" borderId="13" xfId="0" applyNumberFormat="1" applyFont="1" applyFill="1" applyBorder="1"/>
    <xf numFmtId="166" fontId="2" fillId="0" borderId="13" xfId="0" applyNumberFormat="1" applyFont="1" applyBorder="1"/>
    <xf numFmtId="167" fontId="2" fillId="22" borderId="9" xfId="0" applyNumberFormat="1" applyFont="1" applyFill="1" applyBorder="1"/>
    <xf numFmtId="164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5" fillId="12" borderId="9" xfId="0" applyNumberFormat="1" applyFont="1" applyFill="1" applyBorder="1"/>
    <xf numFmtId="167" fontId="2" fillId="12" borderId="9" xfId="0" applyNumberFormat="1" applyFont="1" applyFill="1" applyBorder="1"/>
    <xf numFmtId="165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5" fontId="7" fillId="2" borderId="10" xfId="0" applyNumberFormat="1" applyFont="1" applyFill="1" applyBorder="1" applyAlignment="1">
      <alignment horizontal="center" wrapText="1"/>
    </xf>
    <xf numFmtId="165" fontId="8" fillId="2" borderId="10" xfId="0" applyNumberFormat="1" applyFont="1" applyFill="1" applyBorder="1" applyAlignment="1">
      <alignment horizontal="center" wrapText="1"/>
    </xf>
    <xf numFmtId="165" fontId="16" fillId="2" borderId="9" xfId="0" applyNumberFormat="1" applyFont="1" applyFill="1" applyBorder="1" applyAlignment="1">
      <alignment horizontal="center"/>
    </xf>
    <xf numFmtId="165" fontId="2" fillId="0" borderId="10" xfId="0" applyNumberFormat="1" applyFont="1" applyBorder="1"/>
    <xf numFmtId="0" fontId="8" fillId="0" borderId="9" xfId="0" applyFont="1" applyBorder="1"/>
    <xf numFmtId="165" fontId="2" fillId="2" borderId="10" xfId="0" applyNumberFormat="1" applyFont="1" applyFill="1" applyBorder="1"/>
    <xf numFmtId="165" fontId="2" fillId="10" borderId="10" xfId="0" applyNumberFormat="1" applyFont="1" applyFill="1" applyBorder="1"/>
    <xf numFmtId="164" fontId="2" fillId="12" borderId="9" xfId="0" applyNumberFormat="1" applyFont="1" applyFill="1" applyBorder="1"/>
    <xf numFmtId="167" fontId="5" fillId="12" borderId="9" xfId="0" applyNumberFormat="1" applyFont="1" applyFill="1" applyBorder="1"/>
    <xf numFmtId="167" fontId="2" fillId="2" borderId="7" xfId="0" applyNumberFormat="1" applyFont="1" applyFill="1" applyBorder="1"/>
    <xf numFmtId="165" fontId="7" fillId="0" borderId="2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/>
    </xf>
    <xf numFmtId="165" fontId="5" fillId="9" borderId="7" xfId="0" applyNumberFormat="1" applyFont="1" applyFill="1" applyBorder="1"/>
    <xf numFmtId="165" fontId="2" fillId="9" borderId="1" xfId="0" applyNumberFormat="1" applyFont="1" applyFill="1" applyBorder="1"/>
    <xf numFmtId="0" fontId="2" fillId="9" borderId="1" xfId="0" applyFont="1" applyFill="1" applyBorder="1"/>
    <xf numFmtId="164" fontId="2" fillId="9" borderId="1" xfId="0" applyNumberFormat="1" applyFont="1" applyFill="1" applyBorder="1"/>
    <xf numFmtId="166" fontId="2" fillId="9" borderId="1" xfId="0" applyNumberFormat="1" applyFont="1" applyFill="1" applyBorder="1"/>
    <xf numFmtId="166" fontId="2" fillId="9" borderId="2" xfId="0" applyNumberFormat="1" applyFont="1" applyFill="1" applyBorder="1"/>
    <xf numFmtId="165" fontId="5" fillId="25" borderId="8" xfId="0" applyNumberFormat="1" applyFont="1" applyFill="1" applyBorder="1"/>
    <xf numFmtId="165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4" fontId="2" fillId="25" borderId="10" xfId="0" applyNumberFormat="1" applyFont="1" applyFill="1" applyBorder="1"/>
    <xf numFmtId="166" fontId="2" fillId="25" borderId="10" xfId="0" applyNumberFormat="1" applyFont="1" applyFill="1" applyBorder="1"/>
    <xf numFmtId="165" fontId="2" fillId="23" borderId="8" xfId="0" applyNumberFormat="1" applyFont="1" applyFill="1" applyBorder="1"/>
    <xf numFmtId="0" fontId="5" fillId="23" borderId="9" xfId="0" applyFont="1" applyFill="1" applyBorder="1"/>
    <xf numFmtId="165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6" fontId="2" fillId="23" borderId="10" xfId="0" applyNumberFormat="1" applyFont="1" applyFill="1" applyBorder="1"/>
    <xf numFmtId="165" fontId="2" fillId="2" borderId="8" xfId="0" applyNumberFormat="1" applyFont="1" applyFill="1" applyBorder="1"/>
    <xf numFmtId="165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center"/>
    </xf>
    <xf numFmtId="166" fontId="5" fillId="23" borderId="10" xfId="0" applyNumberFormat="1" applyFont="1" applyFill="1" applyBorder="1" applyAlignment="1">
      <alignment horizontal="center"/>
    </xf>
    <xf numFmtId="165" fontId="2" fillId="26" borderId="8" xfId="0" applyNumberFormat="1" applyFont="1" applyFill="1" applyBorder="1"/>
    <xf numFmtId="165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4" fontId="5" fillId="26" borderId="10" xfId="0" applyNumberFormat="1" applyFont="1" applyFill="1" applyBorder="1" applyAlignment="1">
      <alignment horizontal="right"/>
    </xf>
    <xf numFmtId="166" fontId="5" fillId="26" borderId="10" xfId="0" applyNumberFormat="1" applyFont="1" applyFill="1" applyBorder="1" applyAlignment="1">
      <alignment horizontal="right"/>
    </xf>
    <xf numFmtId="166" fontId="2" fillId="26" borderId="10" xfId="0" applyNumberFormat="1" applyFont="1" applyFill="1" applyBorder="1"/>
    <xf numFmtId="0" fontId="17" fillId="2" borderId="9" xfId="0" quotePrefix="1" applyFont="1" applyFill="1" applyBorder="1"/>
    <xf numFmtId="165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4" fontId="5" fillId="26" borderId="10" xfId="0" applyNumberFormat="1" applyFont="1" applyFill="1" applyBorder="1" applyAlignment="1">
      <alignment horizontal="center"/>
    </xf>
    <xf numFmtId="166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2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2" borderId="10" xfId="0" applyNumberFormat="1" applyFont="1" applyFill="1" applyBorder="1" applyAlignment="1">
      <alignment horizontal="center"/>
    </xf>
    <xf numFmtId="165" fontId="2" fillId="27" borderId="8" xfId="0" applyNumberFormat="1" applyFont="1" applyFill="1" applyBorder="1"/>
    <xf numFmtId="165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5" fontId="2" fillId="27" borderId="10" xfId="0" applyNumberFormat="1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5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5" fontId="8" fillId="27" borderId="10" xfId="0" applyNumberFormat="1" applyFont="1" applyFill="1" applyBorder="1" applyAlignment="1">
      <alignment horizontal="center" wrapText="1"/>
    </xf>
    <xf numFmtId="165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5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5" fontId="2" fillId="0" borderId="7" xfId="0" applyNumberFormat="1" applyFont="1" applyBorder="1"/>
    <xf numFmtId="165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6" fontId="7" fillId="0" borderId="2" xfId="0" applyNumberFormat="1" applyFont="1" applyBorder="1" applyAlignment="1">
      <alignment horizontal="right"/>
    </xf>
    <xf numFmtId="166" fontId="2" fillId="0" borderId="2" xfId="0" applyNumberFormat="1" applyFont="1" applyBorder="1"/>
    <xf numFmtId="165" fontId="3" fillId="28" borderId="7" xfId="0" applyNumberFormat="1" applyFont="1" applyFill="1" applyBorder="1"/>
    <xf numFmtId="165" fontId="2" fillId="28" borderId="1" xfId="0" applyNumberFormat="1" applyFont="1" applyFill="1" applyBorder="1"/>
    <xf numFmtId="0" fontId="2" fillId="28" borderId="1" xfId="0" applyFont="1" applyFill="1" applyBorder="1"/>
    <xf numFmtId="164" fontId="2" fillId="28" borderId="1" xfId="0" applyNumberFormat="1" applyFont="1" applyFill="1" applyBorder="1"/>
    <xf numFmtId="166" fontId="2" fillId="28" borderId="1" xfId="0" applyNumberFormat="1" applyFont="1" applyFill="1" applyBorder="1"/>
    <xf numFmtId="166" fontId="2" fillId="28" borderId="2" xfId="0" applyNumberFormat="1" applyFont="1" applyFill="1" applyBorder="1"/>
    <xf numFmtId="165" fontId="5" fillId="29" borderId="8" xfId="0" applyNumberFormat="1" applyFont="1" applyFill="1" applyBorder="1"/>
    <xf numFmtId="0" fontId="2" fillId="29" borderId="9" xfId="0" applyFont="1" applyFill="1" applyBorder="1"/>
    <xf numFmtId="165" fontId="2" fillId="29" borderId="9" xfId="0" applyNumberFormat="1" applyFont="1" applyFill="1" applyBorder="1"/>
    <xf numFmtId="164" fontId="2" fillId="29" borderId="9" xfId="0" applyNumberFormat="1" applyFont="1" applyFill="1" applyBorder="1"/>
    <xf numFmtId="164" fontId="2" fillId="29" borderId="10" xfId="0" applyNumberFormat="1" applyFont="1" applyFill="1" applyBorder="1"/>
    <xf numFmtId="166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5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4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6" fontId="2" fillId="30" borderId="10" xfId="0" applyNumberFormat="1" applyFont="1" applyFill="1" applyBorder="1"/>
    <xf numFmtId="165" fontId="2" fillId="10" borderId="7" xfId="0" applyNumberFormat="1" applyFont="1" applyFill="1" applyBorder="1"/>
    <xf numFmtId="165" fontId="2" fillId="10" borderId="1" xfId="0" applyNumberFormat="1" applyFont="1" applyFill="1" applyBorder="1"/>
    <xf numFmtId="165" fontId="5" fillId="31" borderId="7" xfId="0" applyNumberFormat="1" applyFont="1" applyFill="1" applyBorder="1"/>
    <xf numFmtId="165" fontId="2" fillId="31" borderId="1" xfId="0" applyNumberFormat="1" applyFont="1" applyFill="1" applyBorder="1"/>
    <xf numFmtId="0" fontId="2" fillId="31" borderId="1" xfId="0" applyFont="1" applyFill="1" applyBorder="1"/>
    <xf numFmtId="164" fontId="2" fillId="31" borderId="1" xfId="0" applyNumberFormat="1" applyFont="1" applyFill="1" applyBorder="1"/>
    <xf numFmtId="166" fontId="2" fillId="31" borderId="1" xfId="0" applyNumberFormat="1" applyFont="1" applyFill="1" applyBorder="1"/>
    <xf numFmtId="166" fontId="2" fillId="31" borderId="2" xfId="0" applyNumberFormat="1" applyFont="1" applyFill="1" applyBorder="1"/>
    <xf numFmtId="165" fontId="5" fillId="32" borderId="8" xfId="0" applyNumberFormat="1" applyFont="1" applyFill="1" applyBorder="1"/>
    <xf numFmtId="165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4" fontId="2" fillId="32" borderId="10" xfId="0" applyNumberFormat="1" applyFont="1" applyFill="1" applyBorder="1"/>
    <xf numFmtId="166" fontId="2" fillId="32" borderId="10" xfId="0" applyNumberFormat="1" applyFont="1" applyFill="1" applyBorder="1"/>
    <xf numFmtId="165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4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5" fontId="2" fillId="33" borderId="9" xfId="0" applyNumberFormat="1" applyFont="1" applyFill="1" applyBorder="1"/>
    <xf numFmtId="165" fontId="20" fillId="26" borderId="9" xfId="0" applyNumberFormat="1" applyFont="1" applyFill="1" applyBorder="1"/>
    <xf numFmtId="165" fontId="21" fillId="2" borderId="9" xfId="0" applyNumberFormat="1" applyFont="1" applyFill="1" applyBorder="1"/>
    <xf numFmtId="0" fontId="22" fillId="26" borderId="9" xfId="0" applyFont="1" applyFill="1" applyBorder="1"/>
    <xf numFmtId="164" fontId="2" fillId="33" borderId="10" xfId="0" applyNumberFormat="1" applyFont="1" applyFill="1" applyBorder="1"/>
    <xf numFmtId="0" fontId="23" fillId="0" borderId="9" xfId="0" quotePrefix="1" applyFont="1" applyBorder="1"/>
    <xf numFmtId="165" fontId="21" fillId="2" borderId="1" xfId="0" applyNumberFormat="1" applyFont="1" applyFill="1" applyBorder="1"/>
    <xf numFmtId="165" fontId="5" fillId="33" borderId="9" xfId="0" applyNumberFormat="1" applyFont="1" applyFill="1" applyBorder="1"/>
    <xf numFmtId="165" fontId="5" fillId="33" borderId="10" xfId="0" applyNumberFormat="1" applyFont="1" applyFill="1" applyBorder="1" applyAlignment="1">
      <alignment horizontal="center" wrapText="1"/>
    </xf>
    <xf numFmtId="165" fontId="24" fillId="2" borderId="9" xfId="0" applyNumberFormat="1" applyFont="1" applyFill="1" applyBorder="1"/>
    <xf numFmtId="165" fontId="25" fillId="23" borderId="9" xfId="0" quotePrefix="1" applyNumberFormat="1" applyFont="1" applyFill="1" applyBorder="1"/>
    <xf numFmtId="165" fontId="26" fillId="2" borderId="9" xfId="0" applyNumberFormat="1" applyFont="1" applyFill="1" applyBorder="1"/>
    <xf numFmtId="165" fontId="23" fillId="2" borderId="9" xfId="0" applyNumberFormat="1" applyFont="1" applyFill="1" applyBorder="1"/>
    <xf numFmtId="165" fontId="26" fillId="2" borderId="10" xfId="0" applyNumberFormat="1" applyFont="1" applyFill="1" applyBorder="1"/>
    <xf numFmtId="165" fontId="23" fillId="2" borderId="10" xfId="0" applyNumberFormat="1" applyFont="1" applyFill="1" applyBorder="1" applyAlignment="1">
      <alignment horizontal="center"/>
    </xf>
    <xf numFmtId="164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6" fontId="26" fillId="2" borderId="10" xfId="0" applyNumberFormat="1" applyFont="1" applyFill="1" applyBorder="1"/>
    <xf numFmtId="165" fontId="2" fillId="27" borderId="1" xfId="0" applyNumberFormat="1" applyFont="1" applyFill="1" applyBorder="1"/>
    <xf numFmtId="165" fontId="2" fillId="27" borderId="2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4" fontId="5" fillId="33" borderId="10" xfId="0" applyNumberFormat="1" applyFont="1" applyFill="1" applyBorder="1"/>
    <xf numFmtId="165" fontId="2" fillId="33" borderId="10" xfId="0" applyNumberFormat="1" applyFont="1" applyFill="1" applyBorder="1"/>
    <xf numFmtId="165" fontId="5" fillId="33" borderId="10" xfId="0" applyNumberFormat="1" applyFont="1" applyFill="1" applyBorder="1" applyAlignment="1">
      <alignment horizontal="center"/>
    </xf>
    <xf numFmtId="165" fontId="5" fillId="2" borderId="9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 wrapText="1"/>
    </xf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2" fillId="2" borderId="13" xfId="0" applyNumberFormat="1" applyFont="1" applyFill="1" applyBorder="1"/>
    <xf numFmtId="165" fontId="8" fillId="2" borderId="9" xfId="0" applyNumberFormat="1" applyFont="1" applyFill="1" applyBorder="1"/>
    <xf numFmtId="165" fontId="28" fillId="2" borderId="9" xfId="0" quotePrefix="1" applyNumberFormat="1" applyFont="1" applyFill="1" applyBorder="1"/>
    <xf numFmtId="168" fontId="7" fillId="2" borderId="10" xfId="0" applyNumberFormat="1" applyFont="1" applyFill="1" applyBorder="1" applyAlignment="1">
      <alignment horizontal="right"/>
    </xf>
    <xf numFmtId="165" fontId="7" fillId="2" borderId="9" xfId="0" quotePrefix="1" applyNumberFormat="1" applyFont="1" applyFill="1" applyBorder="1"/>
    <xf numFmtId="165" fontId="29" fillId="2" borderId="9" xfId="0" applyNumberFormat="1" applyFont="1" applyFill="1" applyBorder="1"/>
    <xf numFmtId="165" fontId="2" fillId="2" borderId="7" xfId="0" applyNumberFormat="1" applyFont="1" applyFill="1" applyBorder="1"/>
    <xf numFmtId="165" fontId="2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31" fillId="2" borderId="9" xfId="0" applyFont="1" applyFill="1" applyBorder="1"/>
    <xf numFmtId="165" fontId="5" fillId="2" borderId="1" xfId="0" applyNumberFormat="1" applyFont="1" applyFill="1" applyBorder="1"/>
    <xf numFmtId="164" fontId="7" fillId="24" borderId="2" xfId="0" applyNumberFormat="1" applyFont="1" applyFill="1" applyBorder="1" applyAlignment="1">
      <alignment horizontal="right"/>
    </xf>
    <xf numFmtId="165" fontId="5" fillId="34" borderId="7" xfId="0" applyNumberFormat="1" applyFont="1" applyFill="1" applyBorder="1"/>
    <xf numFmtId="165" fontId="2" fillId="34" borderId="1" xfId="0" applyNumberFormat="1" applyFont="1" applyFill="1" applyBorder="1"/>
    <xf numFmtId="0" fontId="2" fillId="34" borderId="1" xfId="0" applyFont="1" applyFill="1" applyBorder="1"/>
    <xf numFmtId="164" fontId="2" fillId="34" borderId="1" xfId="0" applyNumberFormat="1" applyFont="1" applyFill="1" applyBorder="1"/>
    <xf numFmtId="166" fontId="2" fillId="34" borderId="1" xfId="0" applyNumberFormat="1" applyFont="1" applyFill="1" applyBorder="1"/>
    <xf numFmtId="166" fontId="2" fillId="34" borderId="2" xfId="0" applyNumberFormat="1" applyFont="1" applyFill="1" applyBorder="1"/>
    <xf numFmtId="166" fontId="2" fillId="35" borderId="2" xfId="0" applyNumberFormat="1" applyFont="1" applyFill="1" applyBorder="1"/>
    <xf numFmtId="165" fontId="5" fillId="36" borderId="8" xfId="0" applyNumberFormat="1" applyFont="1" applyFill="1" applyBorder="1"/>
    <xf numFmtId="165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4" fontId="2" fillId="36" borderId="10" xfId="0" applyNumberFormat="1" applyFont="1" applyFill="1" applyBorder="1"/>
    <xf numFmtId="166" fontId="2" fillId="36" borderId="10" xfId="0" applyNumberFormat="1" applyFont="1" applyFill="1" applyBorder="1"/>
    <xf numFmtId="166" fontId="2" fillId="36" borderId="6" xfId="0" applyNumberFormat="1" applyFont="1" applyFill="1" applyBorder="1"/>
    <xf numFmtId="165" fontId="2" fillId="37" borderId="8" xfId="0" applyNumberFormat="1" applyFont="1" applyFill="1" applyBorder="1"/>
    <xf numFmtId="0" fontId="5" fillId="37" borderId="9" xfId="0" applyFont="1" applyFill="1" applyBorder="1"/>
    <xf numFmtId="165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4" fontId="5" fillId="37" borderId="10" xfId="0" applyNumberFormat="1" applyFont="1" applyFill="1" applyBorder="1" applyAlignment="1">
      <alignment horizontal="right"/>
    </xf>
    <xf numFmtId="166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5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5" fontId="5" fillId="37" borderId="10" xfId="0" applyNumberFormat="1" applyFont="1" applyFill="1" applyBorder="1" applyAlignment="1">
      <alignment horizontal="center" wrapText="1"/>
    </xf>
    <xf numFmtId="164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5" fontId="2" fillId="2" borderId="11" xfId="0" applyNumberFormat="1" applyFont="1" applyFill="1" applyBorder="1"/>
    <xf numFmtId="0" fontId="2" fillId="2" borderId="12" xfId="0" applyFont="1" applyFill="1" applyBorder="1"/>
    <xf numFmtId="0" fontId="7" fillId="0" borderId="12" xfId="0" applyFont="1" applyBorder="1"/>
    <xf numFmtId="0" fontId="2" fillId="2" borderId="13" xfId="0" applyFont="1" applyFill="1" applyBorder="1"/>
    <xf numFmtId="165" fontId="7" fillId="2" borderId="13" xfId="0" applyNumberFormat="1" applyFont="1" applyFill="1" applyBorder="1" applyAlignment="1">
      <alignment horizontal="center" wrapText="1"/>
    </xf>
    <xf numFmtId="164" fontId="7" fillId="2" borderId="13" xfId="0" applyNumberFormat="1" applyFont="1" applyFill="1" applyBorder="1" applyAlignment="1">
      <alignment horizontal="right"/>
    </xf>
    <xf numFmtId="165" fontId="32" fillId="37" borderId="8" xfId="0" applyNumberFormat="1" applyFont="1" applyFill="1" applyBorder="1"/>
    <xf numFmtId="0" fontId="7" fillId="2" borderId="12" xfId="0" applyFont="1" applyFill="1" applyBorder="1"/>
    <xf numFmtId="0" fontId="7" fillId="2" borderId="13" xfId="0" applyFont="1" applyFill="1" applyBorder="1" applyAlignment="1">
      <alignment horizontal="center"/>
    </xf>
    <xf numFmtId="165" fontId="1" fillId="22" borderId="8" xfId="0" applyNumberFormat="1" applyFont="1" applyFill="1" applyBorder="1"/>
    <xf numFmtId="0" fontId="26" fillId="22" borderId="9" xfId="0" applyFont="1" applyFill="1" applyBorder="1"/>
    <xf numFmtId="167" fontId="26" fillId="22" borderId="9" xfId="0" applyNumberFormat="1" applyFont="1" applyFill="1" applyBorder="1"/>
    <xf numFmtId="165" fontId="26" fillId="22" borderId="9" xfId="0" applyNumberFormat="1" applyFont="1" applyFill="1" applyBorder="1"/>
    <xf numFmtId="164" fontId="26" fillId="22" borderId="9" xfId="0" applyNumberFormat="1" applyFont="1" applyFill="1" applyBorder="1"/>
    <xf numFmtId="166" fontId="26" fillId="22" borderId="9" xfId="0" applyNumberFormat="1" applyFont="1" applyFill="1" applyBorder="1"/>
    <xf numFmtId="166" fontId="26" fillId="22" borderId="10" xfId="0" applyNumberFormat="1" applyFont="1" applyFill="1" applyBorder="1"/>
    <xf numFmtId="167" fontId="26" fillId="12" borderId="8" xfId="0" applyNumberFormat="1" applyFont="1" applyFill="1" applyBorder="1"/>
    <xf numFmtId="0" fontId="1" fillId="12" borderId="9" xfId="0" applyFont="1" applyFill="1" applyBorder="1"/>
    <xf numFmtId="167" fontId="26" fillId="12" borderId="9" xfId="0" applyNumberFormat="1" applyFont="1" applyFill="1" applyBorder="1"/>
    <xf numFmtId="165" fontId="26" fillId="12" borderId="9" xfId="0" applyNumberFormat="1" applyFont="1" applyFill="1" applyBorder="1"/>
    <xf numFmtId="0" fontId="26" fillId="12" borderId="9" xfId="0" applyFont="1" applyFill="1" applyBorder="1"/>
    <xf numFmtId="165" fontId="1" fillId="12" borderId="9" xfId="0" applyNumberFormat="1" applyFont="1" applyFill="1" applyBorder="1" applyAlignment="1">
      <alignment horizontal="center"/>
    </xf>
    <xf numFmtId="164" fontId="26" fillId="12" borderId="9" xfId="0" applyNumberFormat="1" applyFont="1" applyFill="1" applyBorder="1"/>
    <xf numFmtId="164" fontId="26" fillId="12" borderId="10" xfId="0" applyNumberFormat="1" applyFont="1" applyFill="1" applyBorder="1"/>
    <xf numFmtId="166" fontId="26" fillId="12" borderId="10" xfId="0" applyNumberFormat="1" applyFont="1" applyFill="1" applyBorder="1"/>
    <xf numFmtId="165" fontId="26" fillId="12" borderId="8" xfId="0" applyNumberFormat="1" applyFont="1" applyFill="1" applyBorder="1"/>
    <xf numFmtId="165" fontId="23" fillId="12" borderId="9" xfId="0" applyNumberFormat="1" applyFont="1" applyFill="1" applyBorder="1"/>
    <xf numFmtId="0" fontId="26" fillId="12" borderId="10" xfId="0" applyFont="1" applyFill="1" applyBorder="1"/>
    <xf numFmtId="165" fontId="1" fillId="12" borderId="10" xfId="0" applyNumberFormat="1" applyFont="1" applyFill="1" applyBorder="1" applyAlignment="1">
      <alignment horizontal="center"/>
    </xf>
    <xf numFmtId="167" fontId="26" fillId="2" borderId="8" xfId="0" applyNumberFormat="1" applyFont="1" applyFill="1" applyBorder="1"/>
    <xf numFmtId="165" fontId="1" fillId="2" borderId="9" xfId="0" applyNumberFormat="1" applyFont="1" applyFill="1" applyBorder="1" applyAlignment="1">
      <alignment horizontal="center"/>
    </xf>
    <xf numFmtId="0" fontId="33" fillId="2" borderId="9" xfId="0" applyFont="1" applyFill="1" applyBorder="1"/>
    <xf numFmtId="165" fontId="1" fillId="0" borderId="10" xfId="0" applyNumberFormat="1" applyFont="1" applyBorder="1" applyAlignment="1">
      <alignment horizontal="center" wrapText="1"/>
    </xf>
    <xf numFmtId="164" fontId="26" fillId="2" borderId="10" xfId="0" applyNumberFormat="1" applyFont="1" applyFill="1" applyBorder="1"/>
    <xf numFmtId="166" fontId="1" fillId="2" borderId="10" xfId="0" applyNumberFormat="1" applyFont="1" applyFill="1" applyBorder="1" applyAlignment="1">
      <alignment horizontal="right"/>
    </xf>
    <xf numFmtId="0" fontId="26" fillId="0" borderId="9" xfId="0" applyFont="1" applyBorder="1"/>
    <xf numFmtId="0" fontId="23" fillId="2" borderId="9" xfId="0" applyFont="1" applyFill="1" applyBorder="1"/>
    <xf numFmtId="0" fontId="26" fillId="2" borderId="9" xfId="0" applyFont="1" applyFill="1" applyBorder="1"/>
    <xf numFmtId="0" fontId="26" fillId="2" borderId="10" xfId="0" applyFont="1" applyFill="1" applyBorder="1"/>
    <xf numFmtId="165" fontId="23" fillId="0" borderId="10" xfId="0" applyNumberFormat="1" applyFont="1" applyBorder="1" applyAlignment="1">
      <alignment horizontal="center" wrapText="1"/>
    </xf>
    <xf numFmtId="0" fontId="34" fillId="2" borderId="9" xfId="0" applyFont="1" applyFill="1" applyBorder="1"/>
    <xf numFmtId="164" fontId="26" fillId="0" borderId="10" xfId="0" applyNumberFormat="1" applyFont="1" applyBorder="1"/>
    <xf numFmtId="166" fontId="26" fillId="0" borderId="10" xfId="0" applyNumberFormat="1" applyFont="1" applyBorder="1"/>
    <xf numFmtId="165" fontId="1" fillId="0" borderId="10" xfId="0" applyNumberFormat="1" applyFont="1" applyBorder="1" applyAlignment="1">
      <alignment horizontal="center"/>
    </xf>
    <xf numFmtId="165" fontId="23" fillId="0" borderId="10" xfId="0" applyNumberFormat="1" applyFont="1" applyBorder="1" applyAlignment="1">
      <alignment horizontal="center"/>
    </xf>
    <xf numFmtId="165" fontId="26" fillId="0" borderId="8" xfId="0" applyNumberFormat="1" applyFont="1" applyBorder="1"/>
    <xf numFmtId="165" fontId="26" fillId="0" borderId="9" xfId="0" applyNumberFormat="1" applyFont="1" applyBorder="1"/>
    <xf numFmtId="0" fontId="35" fillId="23" borderId="9" xfId="0" quotePrefix="1" applyFont="1" applyFill="1" applyBorder="1"/>
    <xf numFmtId="0" fontId="26" fillId="23" borderId="9" xfId="0" applyFont="1" applyFill="1" applyBorder="1"/>
    <xf numFmtId="0" fontId="26" fillId="23" borderId="10" xfId="0" applyFont="1" applyFill="1" applyBorder="1"/>
    <xf numFmtId="165" fontId="26" fillId="0" borderId="10" xfId="0" applyNumberFormat="1" applyFont="1" applyBorder="1"/>
    <xf numFmtId="165" fontId="23" fillId="0" borderId="9" xfId="0" applyNumberFormat="1" applyFont="1" applyBorder="1"/>
    <xf numFmtId="0" fontId="26" fillId="0" borderId="10" xfId="0" applyFont="1" applyBorder="1"/>
    <xf numFmtId="165" fontId="26" fillId="0" borderId="14" xfId="0" applyNumberFormat="1" applyFont="1" applyBorder="1"/>
    <xf numFmtId="165" fontId="26" fillId="0" borderId="15" xfId="0" applyNumberFormat="1" applyFont="1" applyBorder="1"/>
    <xf numFmtId="165" fontId="23" fillId="0" borderId="15" xfId="0" applyNumberFormat="1" applyFont="1" applyBorder="1"/>
    <xf numFmtId="0" fontId="26" fillId="0" borderId="15" xfId="0" applyFont="1" applyBorder="1"/>
    <xf numFmtId="0" fontId="26" fillId="0" borderId="16" xfId="0" applyFont="1" applyBorder="1"/>
    <xf numFmtId="165" fontId="23" fillId="0" borderId="16" xfId="0" applyNumberFormat="1" applyFont="1" applyBorder="1" applyAlignment="1">
      <alignment horizontal="center" wrapText="1"/>
    </xf>
    <xf numFmtId="164" fontId="26" fillId="2" borderId="16" xfId="0" applyNumberFormat="1" applyFont="1" applyFill="1" applyBorder="1"/>
    <xf numFmtId="166" fontId="26" fillId="0" borderId="16" xfId="0" applyNumberFormat="1" applyFont="1" applyBorder="1"/>
    <xf numFmtId="166" fontId="26" fillId="2" borderId="16" xfId="0" applyNumberFormat="1" applyFont="1" applyFill="1" applyBorder="1"/>
    <xf numFmtId="165" fontId="3" fillId="38" borderId="7" xfId="0" applyNumberFormat="1" applyFont="1" applyFill="1" applyBorder="1"/>
    <xf numFmtId="165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5" fontId="2" fillId="38" borderId="2" xfId="0" applyNumberFormat="1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9" borderId="9" xfId="0" applyNumberFormat="1" applyFont="1" applyFill="1" applyBorder="1"/>
    <xf numFmtId="165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5" fontId="2" fillId="39" borderId="10" xfId="0" applyNumberFormat="1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40" borderId="9" xfId="0" applyNumberFormat="1" applyFont="1" applyFill="1" applyBorder="1"/>
    <xf numFmtId="165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5" fontId="5" fillId="40" borderId="10" xfId="0" applyNumberFormat="1" applyFont="1" applyFill="1" applyBorder="1" applyAlignment="1">
      <alignment horizontal="center"/>
    </xf>
    <xf numFmtId="164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6" fontId="2" fillId="40" borderId="10" xfId="0" applyNumberFormat="1" applyFont="1" applyFill="1" applyBorder="1"/>
    <xf numFmtId="165" fontId="37" fillId="23" borderId="9" xfId="0" applyNumberFormat="1" applyFont="1" applyFill="1" applyBorder="1"/>
    <xf numFmtId="165" fontId="7" fillId="0" borderId="9" xfId="0" applyNumberFormat="1" applyFont="1" applyBorder="1"/>
    <xf numFmtId="165" fontId="5" fillId="0" borderId="10" xfId="0" applyNumberFormat="1" applyFont="1" applyBorder="1" applyAlignment="1">
      <alignment horizontal="center"/>
    </xf>
    <xf numFmtId="165" fontId="2" fillId="40" borderId="10" xfId="0" applyNumberFormat="1" applyFont="1" applyFill="1" applyBorder="1"/>
    <xf numFmtId="164" fontId="2" fillId="40" borderId="10" xfId="0" applyNumberFormat="1" applyFont="1" applyFill="1" applyBorder="1"/>
    <xf numFmtId="0" fontId="38" fillId="23" borderId="9" xfId="0" applyFont="1" applyFill="1" applyBorder="1"/>
    <xf numFmtId="165" fontId="7" fillId="2" borderId="1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9" fontId="2" fillId="2" borderId="10" xfId="0" applyNumberFormat="1" applyFont="1" applyFill="1" applyBorder="1"/>
    <xf numFmtId="165" fontId="39" fillId="0" borderId="1" xfId="0" applyNumberFormat="1" applyFont="1" applyBorder="1"/>
    <xf numFmtId="169" fontId="2" fillId="2" borderId="2" xfId="0" applyNumberFormat="1" applyFont="1" applyFill="1" applyBorder="1"/>
    <xf numFmtId="165" fontId="5" fillId="39" borderId="10" xfId="0" applyNumberFormat="1" applyFont="1" applyFill="1" applyBorder="1" applyAlignment="1">
      <alignment horizontal="center"/>
    </xf>
    <xf numFmtId="164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40" fillId="0" borderId="9" xfId="0" applyFont="1" applyBorder="1"/>
    <xf numFmtId="165" fontId="16" fillId="39" borderId="9" xfId="0" applyNumberFormat="1" applyFont="1" applyFill="1" applyBorder="1"/>
    <xf numFmtId="165" fontId="16" fillId="39" borderId="10" xfId="0" applyNumberFormat="1" applyFont="1" applyFill="1" applyBorder="1" applyAlignment="1">
      <alignment horizontal="center"/>
    </xf>
    <xf numFmtId="166" fontId="16" fillId="39" borderId="10" xfId="0" applyNumberFormat="1" applyFont="1" applyFill="1" applyBorder="1" applyAlignment="1">
      <alignment horizontal="right"/>
    </xf>
    <xf numFmtId="165" fontId="16" fillId="0" borderId="10" xfId="0" applyNumberFormat="1" applyFont="1" applyBorder="1" applyAlignment="1">
      <alignment horizontal="center" wrapText="1"/>
    </xf>
    <xf numFmtId="0" fontId="42" fillId="2" borderId="9" xfId="0" applyFont="1" applyFill="1" applyBorder="1"/>
    <xf numFmtId="165" fontId="16" fillId="0" borderId="10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0" fontId="43" fillId="23" borderId="9" xfId="0" applyFont="1" applyFill="1" applyBorder="1"/>
    <xf numFmtId="164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5" fontId="8" fillId="0" borderId="2" xfId="0" applyNumberFormat="1" applyFont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right"/>
    </xf>
    <xf numFmtId="165" fontId="2" fillId="39" borderId="8" xfId="0" applyNumberFormat="1" applyFont="1" applyFill="1" applyBorder="1"/>
    <xf numFmtId="165" fontId="5" fillId="0" borderId="9" xfId="0" applyNumberFormat="1" applyFont="1" applyBorder="1"/>
    <xf numFmtId="165" fontId="7" fillId="0" borderId="13" xfId="0" applyNumberFormat="1" applyFont="1" applyBorder="1" applyAlignment="1">
      <alignment horizontal="center"/>
    </xf>
    <xf numFmtId="164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5" fontId="8" fillId="0" borderId="9" xfId="0" applyNumberFormat="1" applyFont="1" applyBorder="1"/>
    <xf numFmtId="165" fontId="5" fillId="13" borderId="17" xfId="0" applyNumberFormat="1" applyFont="1" applyFill="1" applyBorder="1"/>
    <xf numFmtId="165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5" fontId="5" fillId="13" borderId="18" xfId="0" applyNumberFormat="1" applyFont="1" applyFill="1" applyBorder="1"/>
    <xf numFmtId="164" fontId="2" fillId="13" borderId="18" xfId="0" applyNumberFormat="1" applyFont="1" applyFill="1" applyBorder="1"/>
    <xf numFmtId="164" fontId="2" fillId="13" borderId="19" xfId="0" applyNumberFormat="1" applyFont="1" applyFill="1" applyBorder="1"/>
    <xf numFmtId="166" fontId="2" fillId="13" borderId="19" xfId="0" applyNumberFormat="1" applyFont="1" applyFill="1" applyBorder="1"/>
    <xf numFmtId="165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1" fillId="0" borderId="0" xfId="0" applyNumberFormat="1" applyFont="1"/>
    <xf numFmtId="166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6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5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5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5" fontId="30" fillId="2" borderId="1" xfId="0" applyNumberFormat="1" applyFont="1" applyFill="1" applyBorder="1"/>
    <xf numFmtId="0" fontId="33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6" fillId="2" borderId="9" xfId="0" applyFont="1" applyFill="1" applyBorder="1"/>
    <xf numFmtId="0" fontId="41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5" fontId="27" fillId="2" borderId="0" xfId="0" applyNumberFormat="1" applyFont="1" applyFill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6" fontId="2" fillId="2" borderId="20" xfId="0" applyNumberFormat="1" applyFont="1" applyFill="1" applyBorder="1"/>
    <xf numFmtId="166" fontId="2" fillId="2" borderId="21" xfId="0" applyNumberFormat="1" applyFont="1" applyFill="1" applyBorder="1"/>
    <xf numFmtId="165" fontId="6" fillId="23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8" fillId="2" borderId="21" xfId="0" applyNumberFormat="1" applyFont="1" applyFill="1" applyBorder="1" applyAlignment="1">
      <alignment horizontal="right"/>
    </xf>
    <xf numFmtId="166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6" fontId="2" fillId="39" borderId="21" xfId="0" applyNumberFormat="1" applyFont="1" applyFill="1" applyBorder="1"/>
    <xf numFmtId="166" fontId="26" fillId="2" borderId="21" xfId="0" applyNumberFormat="1" applyFont="1" applyFill="1" applyBorder="1"/>
    <xf numFmtId="164" fontId="23" fillId="24" borderId="10" xfId="0" applyNumberFormat="1" applyFont="1" applyFill="1" applyBorder="1" applyAlignment="1">
      <alignment horizontal="right"/>
    </xf>
    <xf numFmtId="0" fontId="23" fillId="0" borderId="9" xfId="0" applyFont="1" applyBorder="1"/>
    <xf numFmtId="165" fontId="1" fillId="0" borderId="9" xfId="0" applyNumberFormat="1" applyFont="1" applyBorder="1"/>
    <xf numFmtId="165" fontId="6" fillId="23" borderId="9" xfId="0" quotePrefix="1" applyNumberFormat="1" applyFont="1" applyFill="1" applyBorder="1"/>
    <xf numFmtId="166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6" fontId="2" fillId="27" borderId="20" xfId="0" applyNumberFormat="1" applyFont="1" applyFill="1" applyBorder="1"/>
    <xf numFmtId="0" fontId="6" fillId="23" borderId="9" xfId="0" quotePrefix="1" applyFont="1" applyFill="1" applyBorder="1"/>
    <xf numFmtId="164" fontId="7" fillId="39" borderId="10" xfId="0" applyNumberFormat="1" applyFont="1" applyFill="1" applyBorder="1" applyAlignment="1">
      <alignment horizontal="right"/>
    </xf>
    <xf numFmtId="165" fontId="7" fillId="39" borderId="10" xfId="0" applyNumberFormat="1" applyFont="1" applyFill="1" applyBorder="1" applyAlignment="1">
      <alignment horizontal="center"/>
    </xf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0" fontId="6" fillId="23" borderId="9" xfId="0" applyFont="1" applyFill="1" applyBorder="1"/>
    <xf numFmtId="166" fontId="2" fillId="40" borderId="21" xfId="0" applyNumberFormat="1" applyFont="1" applyFill="1" applyBorder="1"/>
    <xf numFmtId="165" fontId="2" fillId="40" borderId="8" xfId="0" applyNumberFormat="1" applyFont="1" applyFill="1" applyBorder="1"/>
    <xf numFmtId="166" fontId="2" fillId="38" borderId="20" xfId="0" applyNumberFormat="1" applyFont="1" applyFill="1" applyBorder="1"/>
    <xf numFmtId="166" fontId="2" fillId="2" borderId="16" xfId="0" applyNumberFormat="1" applyFont="1" applyFill="1" applyBorder="1"/>
    <xf numFmtId="166" fontId="2" fillId="2" borderId="22" xfId="0" applyNumberFormat="1" applyFont="1" applyFill="1" applyBorder="1"/>
    <xf numFmtId="166" fontId="2" fillId="0" borderId="16" xfId="0" applyNumberFormat="1" applyFont="1" applyBorder="1"/>
    <xf numFmtId="164" fontId="2" fillId="2" borderId="16" xfId="0" applyNumberFormat="1" applyFont="1" applyFill="1" applyBorder="1"/>
    <xf numFmtId="165" fontId="8" fillId="0" borderId="16" xfId="0" applyNumberFormat="1" applyFont="1" applyBorder="1" applyAlignment="1">
      <alignment horizontal="center" wrapText="1"/>
    </xf>
    <xf numFmtId="0" fontId="2" fillId="0" borderId="16" xfId="0" applyFont="1" applyBorder="1"/>
    <xf numFmtId="0" fontId="2" fillId="0" borderId="15" xfId="0" applyFont="1" applyBorder="1"/>
    <xf numFmtId="165" fontId="8" fillId="0" borderId="15" xfId="0" applyNumberFormat="1" applyFont="1" applyBorder="1"/>
    <xf numFmtId="165" fontId="2" fillId="0" borderId="15" xfId="0" applyNumberFormat="1" applyFont="1" applyBorder="1"/>
    <xf numFmtId="165" fontId="2" fillId="0" borderId="14" xfId="0" applyNumberFormat="1" applyFont="1" applyBorder="1"/>
    <xf numFmtId="0" fontId="18" fillId="23" borderId="9" xfId="0" quotePrefix="1" applyFont="1" applyFill="1" applyBorder="1"/>
    <xf numFmtId="166" fontId="2" fillId="12" borderId="21" xfId="0" applyNumberFormat="1" applyFont="1" applyFill="1" applyBorder="1"/>
    <xf numFmtId="165" fontId="16" fillId="12" borderId="10" xfId="0" applyNumberFormat="1" applyFont="1" applyFill="1" applyBorder="1" applyAlignment="1">
      <alignment horizontal="center"/>
    </xf>
    <xf numFmtId="165" fontId="8" fillId="12" borderId="9" xfId="0" applyNumberFormat="1" applyFont="1" applyFill="1" applyBorder="1"/>
    <xf numFmtId="165" fontId="2" fillId="12" borderId="8" xfId="0" applyNumberFormat="1" applyFont="1" applyFill="1" applyBorder="1"/>
    <xf numFmtId="165" fontId="16" fillId="12" borderId="9" xfId="0" applyNumberFormat="1" applyFont="1" applyFill="1" applyBorder="1" applyAlignment="1">
      <alignment horizontal="center"/>
    </xf>
    <xf numFmtId="0" fontId="16" fillId="12" borderId="9" xfId="0" applyFont="1" applyFill="1" applyBorder="1"/>
    <xf numFmtId="165" fontId="16" fillId="22" borderId="8" xfId="0" applyNumberFormat="1" applyFont="1" applyFill="1" applyBorder="1"/>
    <xf numFmtId="166" fontId="2" fillId="27" borderId="21" xfId="0" applyNumberFormat="1" applyFont="1" applyFill="1" applyBorder="1"/>
    <xf numFmtId="0" fontId="6" fillId="2" borderId="9" xfId="0" applyFont="1" applyFill="1" applyBorder="1"/>
    <xf numFmtId="166" fontId="2" fillId="37" borderId="21" xfId="0" applyNumberFormat="1" applyFont="1" applyFill="1" applyBorder="1"/>
    <xf numFmtId="164" fontId="2" fillId="37" borderId="10" xfId="0" applyNumberFormat="1" applyFont="1" applyFill="1" applyBorder="1"/>
    <xf numFmtId="166" fontId="5" fillId="37" borderId="13" xfId="0" applyNumberFormat="1" applyFont="1" applyFill="1" applyBorder="1" applyAlignment="1">
      <alignment horizontal="right"/>
    </xf>
    <xf numFmtId="164" fontId="2" fillId="37" borderId="13" xfId="0" applyNumberFormat="1" applyFont="1" applyFill="1" applyBorder="1"/>
    <xf numFmtId="165" fontId="5" fillId="37" borderId="13" xfId="0" applyNumberFormat="1" applyFont="1" applyFill="1" applyBorder="1" applyAlignment="1">
      <alignment horizontal="center" wrapText="1"/>
    </xf>
    <xf numFmtId="0" fontId="2" fillId="37" borderId="13" xfId="0" applyFont="1" applyFill="1" applyBorder="1"/>
    <xf numFmtId="0" fontId="2" fillId="37" borderId="12" xfId="0" applyFont="1" applyFill="1" applyBorder="1"/>
    <xf numFmtId="165" fontId="2" fillId="37" borderId="12" xfId="0" applyNumberFormat="1" applyFont="1" applyFill="1" applyBorder="1"/>
    <xf numFmtId="0" fontId="5" fillId="37" borderId="12" xfId="0" applyFont="1" applyFill="1" applyBorder="1"/>
    <xf numFmtId="165" fontId="2" fillId="37" borderId="11" xfId="0" applyNumberFormat="1" applyFont="1" applyFill="1" applyBorder="1"/>
    <xf numFmtId="166" fontId="2" fillId="27" borderId="6" xfId="0" applyNumberFormat="1" applyFont="1" applyFill="1" applyBorder="1"/>
    <xf numFmtId="164" fontId="2" fillId="27" borderId="6" xfId="0" applyNumberFormat="1" applyFont="1" applyFill="1" applyBorder="1"/>
    <xf numFmtId="165" fontId="2" fillId="27" borderId="6" xfId="0" applyNumberFormat="1" applyFont="1" applyFill="1" applyBorder="1"/>
    <xf numFmtId="0" fontId="2" fillId="27" borderId="6" xfId="0" applyFont="1" applyFill="1" applyBorder="1"/>
    <xf numFmtId="0" fontId="2" fillId="27" borderId="0" xfId="0" applyFont="1" applyFill="1"/>
    <xf numFmtId="165" fontId="2" fillId="27" borderId="0" xfId="0" applyNumberFormat="1" applyFont="1" applyFill="1"/>
    <xf numFmtId="165" fontId="2" fillId="27" borderId="5" xfId="0" applyNumberFormat="1" applyFont="1" applyFill="1" applyBorder="1"/>
    <xf numFmtId="166" fontId="2" fillId="27" borderId="13" xfId="0" applyNumberFormat="1" applyFont="1" applyFill="1" applyBorder="1"/>
    <xf numFmtId="164" fontId="2" fillId="27" borderId="13" xfId="0" applyNumberFormat="1" applyFont="1" applyFill="1" applyBorder="1"/>
    <xf numFmtId="165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2" xfId="0" applyFont="1" applyFill="1" applyBorder="1"/>
    <xf numFmtId="165" fontId="2" fillId="27" borderId="12" xfId="0" applyNumberFormat="1" applyFont="1" applyFill="1" applyBorder="1"/>
    <xf numFmtId="165" fontId="2" fillId="27" borderId="11" xfId="0" applyNumberFormat="1" applyFont="1" applyFill="1" applyBorder="1"/>
    <xf numFmtId="0" fontId="23" fillId="2" borderId="10" xfId="0" applyFont="1" applyFill="1" applyBorder="1" applyAlignment="1">
      <alignment horizontal="center" wrapText="1"/>
    </xf>
    <xf numFmtId="165" fontId="26" fillId="2" borderId="8" xfId="0" applyNumberFormat="1" applyFont="1" applyFill="1" applyBorder="1"/>
    <xf numFmtId="0" fontId="33" fillId="23" borderId="9" xfId="0" quotePrefix="1" applyFont="1" applyFill="1" applyBorder="1"/>
    <xf numFmtId="166" fontId="44" fillId="0" borderId="10" xfId="0" applyNumberFormat="1" applyFont="1" applyBorder="1"/>
    <xf numFmtId="164" fontId="44" fillId="0" borderId="10" xfId="0" applyNumberFormat="1" applyFont="1" applyBorder="1"/>
    <xf numFmtId="0" fontId="44" fillId="2" borderId="10" xfId="0" applyFont="1" applyFill="1" applyBorder="1"/>
    <xf numFmtId="0" fontId="44" fillId="2" borderId="9" xfId="0" applyFont="1" applyFill="1" applyBorder="1"/>
    <xf numFmtId="167" fontId="44" fillId="2" borderId="8" xfId="0" applyNumberFormat="1" applyFont="1" applyFill="1" applyBorder="1"/>
    <xf numFmtId="0" fontId="45" fillId="2" borderId="9" xfId="0" applyFont="1" applyFill="1" applyBorder="1"/>
    <xf numFmtId="166" fontId="44" fillId="2" borderId="10" xfId="0" applyNumberFormat="1" applyFont="1" applyFill="1" applyBorder="1"/>
    <xf numFmtId="164" fontId="44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center"/>
    </xf>
    <xf numFmtId="166" fontId="1" fillId="37" borderId="10" xfId="0" applyNumberFormat="1" applyFont="1" applyFill="1" applyBorder="1" applyAlignment="1">
      <alignment horizontal="right"/>
    </xf>
    <xf numFmtId="164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26" fillId="37" borderId="10" xfId="0" applyFont="1" applyFill="1" applyBorder="1"/>
    <xf numFmtId="0" fontId="26" fillId="37" borderId="9" xfId="0" applyFont="1" applyFill="1" applyBorder="1"/>
    <xf numFmtId="165" fontId="26" fillId="37" borderId="9" xfId="0" applyNumberFormat="1" applyFont="1" applyFill="1" applyBorder="1"/>
    <xf numFmtId="0" fontId="1" fillId="37" borderId="9" xfId="0" applyFont="1" applyFill="1" applyBorder="1"/>
    <xf numFmtId="165" fontId="26" fillId="37" borderId="8" xfId="0" applyNumberFormat="1" applyFont="1" applyFill="1" applyBorder="1"/>
    <xf numFmtId="166" fontId="2" fillId="36" borderId="23" xfId="0" applyNumberFormat="1" applyFont="1" applyFill="1" applyBorder="1"/>
    <xf numFmtId="166" fontId="26" fillId="36" borderId="10" xfId="0" applyNumberFormat="1" applyFont="1" applyFill="1" applyBorder="1"/>
    <xf numFmtId="164" fontId="26" fillId="36" borderId="10" xfId="0" applyNumberFormat="1" applyFont="1" applyFill="1" applyBorder="1"/>
    <xf numFmtId="0" fontId="26" fillId="36" borderId="10" xfId="0" applyFont="1" applyFill="1" applyBorder="1"/>
    <xf numFmtId="165" fontId="26" fillId="36" borderId="9" xfId="0" applyNumberFormat="1" applyFont="1" applyFill="1" applyBorder="1"/>
    <xf numFmtId="0" fontId="26" fillId="36" borderId="9" xfId="0" applyFont="1" applyFill="1" applyBorder="1"/>
    <xf numFmtId="165" fontId="1" fillId="36" borderId="8" xfId="0" applyNumberFormat="1" applyFont="1" applyFill="1" applyBorder="1"/>
    <xf numFmtId="166" fontId="2" fillId="35" borderId="20" xfId="0" applyNumberFormat="1" applyFont="1" applyFill="1" applyBorder="1"/>
    <xf numFmtId="166" fontId="26" fillId="34" borderId="1" xfId="0" applyNumberFormat="1" applyFont="1" applyFill="1" applyBorder="1"/>
    <xf numFmtId="164" fontId="26" fillId="34" borderId="1" xfId="0" applyNumberFormat="1" applyFont="1" applyFill="1" applyBorder="1"/>
    <xf numFmtId="0" fontId="26" fillId="34" borderId="1" xfId="0" applyFont="1" applyFill="1" applyBorder="1"/>
    <xf numFmtId="165" fontId="26" fillId="34" borderId="1" xfId="0" applyNumberFormat="1" applyFont="1" applyFill="1" applyBorder="1"/>
    <xf numFmtId="165" fontId="1" fillId="34" borderId="7" xfId="0" applyNumberFormat="1" applyFont="1" applyFill="1" applyBorder="1"/>
    <xf numFmtId="165" fontId="9" fillId="2" borderId="9" xfId="0" applyNumberFormat="1" applyFont="1" applyFill="1" applyBorder="1"/>
    <xf numFmtId="165" fontId="6" fillId="2" borderId="9" xfId="0" applyNumberFormat="1" applyFont="1" applyFill="1" applyBorder="1"/>
    <xf numFmtId="166" fontId="2" fillId="33" borderId="21" xfId="0" applyNumberFormat="1" applyFont="1" applyFill="1" applyBorder="1"/>
    <xf numFmtId="164" fontId="7" fillId="24" borderId="20" xfId="0" applyNumberFormat="1" applyFont="1" applyFill="1" applyBorder="1" applyAlignment="1">
      <alignment horizontal="right"/>
    </xf>
    <xf numFmtId="164" fontId="7" fillId="24" borderId="21" xfId="0" applyNumberFormat="1" applyFont="1" applyFill="1" applyBorder="1" applyAlignment="1">
      <alignment horizontal="right"/>
    </xf>
    <xf numFmtId="166" fontId="2" fillId="41" borderId="10" xfId="0" applyNumberFormat="1" applyFont="1" applyFill="1" applyBorder="1"/>
    <xf numFmtId="166" fontId="2" fillId="41" borderId="21" xfId="0" applyNumberFormat="1" applyFont="1" applyFill="1" applyBorder="1"/>
    <xf numFmtId="166" fontId="5" fillId="41" borderId="10" xfId="0" applyNumberFormat="1" applyFont="1" applyFill="1" applyBorder="1" applyAlignment="1">
      <alignment horizontal="right"/>
    </xf>
    <xf numFmtId="164" fontId="5" fillId="41" borderId="21" xfId="0" applyNumberFormat="1" applyFont="1" applyFill="1" applyBorder="1" applyAlignment="1">
      <alignment horizontal="right"/>
    </xf>
    <xf numFmtId="164" fontId="2" fillId="41" borderId="10" xfId="0" applyNumberFormat="1" applyFont="1" applyFill="1" applyBorder="1"/>
    <xf numFmtId="165" fontId="5" fillId="41" borderId="10" xfId="0" applyNumberFormat="1" applyFont="1" applyFill="1" applyBorder="1" applyAlignment="1">
      <alignment horizontal="center"/>
    </xf>
    <xf numFmtId="165" fontId="2" fillId="41" borderId="10" xfId="0" applyNumberFormat="1" applyFont="1" applyFill="1" applyBorder="1"/>
    <xf numFmtId="165" fontId="2" fillId="41" borderId="9" xfId="0" applyNumberFormat="1" applyFont="1" applyFill="1" applyBorder="1"/>
    <xf numFmtId="165" fontId="7" fillId="41" borderId="9" xfId="0" applyNumberFormat="1" applyFont="1" applyFill="1" applyBorder="1"/>
    <xf numFmtId="165" fontId="2" fillId="41" borderId="8" xfId="0" applyNumberFormat="1" applyFont="1" applyFill="1" applyBorder="1"/>
    <xf numFmtId="165" fontId="5" fillId="41" borderId="9" xfId="0" applyNumberFormat="1" applyFont="1" applyFill="1" applyBorder="1"/>
    <xf numFmtId="164" fontId="7" fillId="2" borderId="21" xfId="0" applyNumberFormat="1" applyFont="1" applyFill="1" applyBorder="1" applyAlignment="1">
      <alignment horizontal="right"/>
    </xf>
    <xf numFmtId="164" fontId="5" fillId="41" borderId="10" xfId="0" applyNumberFormat="1" applyFont="1" applyFill="1" applyBorder="1" applyAlignment="1">
      <alignment horizontal="right"/>
    </xf>
    <xf numFmtId="164" fontId="5" fillId="40" borderId="21" xfId="0" applyNumberFormat="1" applyFont="1" applyFill="1" applyBorder="1" applyAlignment="1">
      <alignment horizontal="right"/>
    </xf>
    <xf numFmtId="165" fontId="29" fillId="40" borderId="9" xfId="0" applyNumberFormat="1" applyFont="1" applyFill="1" applyBorder="1"/>
    <xf numFmtId="164" fontId="5" fillId="2" borderId="21" xfId="0" applyNumberFormat="1" applyFont="1" applyFill="1" applyBorder="1" applyAlignment="1">
      <alignment horizontal="right"/>
    </xf>
    <xf numFmtId="165" fontId="5" fillId="40" borderId="10" xfId="0" applyNumberFormat="1" applyFont="1" applyFill="1" applyBorder="1" applyAlignment="1">
      <alignment horizontal="center" wrapText="1"/>
    </xf>
    <xf numFmtId="168" fontId="7" fillId="24" borderId="21" xfId="0" applyNumberFormat="1" applyFont="1" applyFill="1" applyBorder="1" applyAlignment="1">
      <alignment horizontal="right"/>
    </xf>
    <xf numFmtId="164" fontId="5" fillId="40" borderId="24" xfId="0" applyNumberFormat="1" applyFont="1" applyFill="1" applyBorder="1" applyAlignment="1">
      <alignment horizontal="right"/>
    </xf>
    <xf numFmtId="165" fontId="6" fillId="2" borderId="9" xfId="0" quotePrefix="1" applyNumberFormat="1" applyFont="1" applyFill="1" applyBorder="1"/>
    <xf numFmtId="165" fontId="6" fillId="2" borderId="0" xfId="0" applyNumberFormat="1" applyFont="1" applyFill="1"/>
    <xf numFmtId="165" fontId="6" fillId="2" borderId="9" xfId="0" applyNumberFormat="1" applyFont="1" applyFill="1" applyBorder="1"/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5" fontId="2" fillId="33" borderId="18" xfId="0" applyNumberFormat="1" applyFont="1" applyFill="1" applyBorder="1"/>
    <xf numFmtId="167" fontId="2" fillId="33" borderId="18" xfId="0" applyNumberFormat="1" applyFont="1" applyFill="1" applyBorder="1"/>
    <xf numFmtId="165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6" fontId="2" fillId="26" borderId="21" xfId="0" applyNumberFormat="1" applyFont="1" applyFill="1" applyBorder="1"/>
    <xf numFmtId="0" fontId="6" fillId="26" borderId="9" xfId="0" applyFont="1" applyFill="1" applyBorder="1"/>
    <xf numFmtId="166" fontId="5" fillId="26" borderId="13" xfId="0" applyNumberFormat="1" applyFont="1" applyFill="1" applyBorder="1" applyAlignment="1">
      <alignment horizontal="right"/>
    </xf>
    <xf numFmtId="164" fontId="5" fillId="26" borderId="13" xfId="0" applyNumberFormat="1" applyFont="1" applyFill="1" applyBorder="1" applyAlignment="1">
      <alignment horizontal="right"/>
    </xf>
    <xf numFmtId="0" fontId="5" fillId="26" borderId="13" xfId="0" applyFont="1" applyFill="1" applyBorder="1" applyAlignment="1">
      <alignment horizontal="center" wrapText="1"/>
    </xf>
    <xf numFmtId="0" fontId="2" fillId="26" borderId="13" xfId="0" applyFont="1" applyFill="1" applyBorder="1"/>
    <xf numFmtId="0" fontId="2" fillId="26" borderId="12" xfId="0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1" xfId="0" applyNumberFormat="1" applyFont="1" applyFill="1" applyBorder="1"/>
    <xf numFmtId="166" fontId="5" fillId="33" borderId="13" xfId="0" applyNumberFormat="1" applyFont="1" applyFill="1" applyBorder="1" applyAlignment="1">
      <alignment horizontal="right"/>
    </xf>
    <xf numFmtId="164" fontId="5" fillId="33" borderId="13" xfId="0" applyNumberFormat="1" applyFont="1" applyFill="1" applyBorder="1" applyAlignment="1">
      <alignment horizontal="right"/>
    </xf>
    <xf numFmtId="164" fontId="5" fillId="33" borderId="24" xfId="0" applyNumberFormat="1" applyFont="1" applyFill="1" applyBorder="1" applyAlignment="1">
      <alignment horizontal="right"/>
    </xf>
    <xf numFmtId="166" fontId="2" fillId="32" borderId="21" xfId="0" applyNumberFormat="1" applyFont="1" applyFill="1" applyBorder="1"/>
    <xf numFmtId="166" fontId="2" fillId="10" borderId="21" xfId="0" applyNumberFormat="1" applyFont="1" applyFill="1" applyBorder="1"/>
    <xf numFmtId="166" fontId="8" fillId="10" borderId="10" xfId="0" applyNumberFormat="1" applyFont="1" applyFill="1" applyBorder="1" applyAlignment="1">
      <alignment horizontal="right"/>
    </xf>
    <xf numFmtId="164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164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5" fontId="1" fillId="31" borderId="25" xfId="0" applyNumberFormat="1" applyFont="1" applyFill="1" applyBorder="1"/>
    <xf numFmtId="166" fontId="2" fillId="10" borderId="20" xfId="0" applyNumberFormat="1" applyFont="1" applyFill="1" applyBorder="1"/>
    <xf numFmtId="166" fontId="2" fillId="30" borderId="21" xfId="0" applyNumberFormat="1" applyFont="1" applyFill="1" applyBorder="1"/>
    <xf numFmtId="166" fontId="2" fillId="29" borderId="21" xfId="0" applyNumberFormat="1" applyFont="1" applyFill="1" applyBorder="1"/>
    <xf numFmtId="166" fontId="2" fillId="0" borderId="20" xfId="0" applyNumberFormat="1" applyFont="1" applyBorder="1"/>
    <xf numFmtId="166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5" fontId="7" fillId="2" borderId="13" xfId="0" applyNumberFormat="1" applyFont="1" applyFill="1" applyBorder="1" applyAlignment="1">
      <alignment horizontal="center"/>
    </xf>
    <xf numFmtId="0" fontId="7" fillId="2" borderId="12" xfId="0" quotePrefix="1" applyFont="1" applyFill="1" applyBorder="1"/>
    <xf numFmtId="46" fontId="2" fillId="2" borderId="11" xfId="0" applyNumberFormat="1" applyFont="1" applyFill="1" applyBorder="1"/>
    <xf numFmtId="166" fontId="26" fillId="0" borderId="21" xfId="0" applyNumberFormat="1" applyFont="1" applyBorder="1"/>
    <xf numFmtId="166" fontId="23" fillId="2" borderId="21" xfId="0" applyNumberFormat="1" applyFont="1" applyFill="1" applyBorder="1" applyAlignment="1">
      <alignment horizontal="right"/>
    </xf>
    <xf numFmtId="166" fontId="1" fillId="2" borderId="21" xfId="0" applyNumberFormat="1" applyFont="1" applyFill="1" applyBorder="1" applyAlignment="1">
      <alignment horizontal="right"/>
    </xf>
    <xf numFmtId="166" fontId="26" fillId="23" borderId="10" xfId="0" applyNumberFormat="1" applyFont="1" applyFill="1" applyBorder="1"/>
    <xf numFmtId="166" fontId="26" fillId="23" borderId="21" xfId="0" applyNumberFormat="1" applyFont="1" applyFill="1" applyBorder="1"/>
    <xf numFmtId="166" fontId="1" fillId="23" borderId="10" xfId="0" applyNumberFormat="1" applyFont="1" applyFill="1" applyBorder="1" applyAlignment="1">
      <alignment horizontal="right"/>
    </xf>
    <xf numFmtId="164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5" fontId="26" fillId="23" borderId="9" xfId="0" applyNumberFormat="1" applyFont="1" applyFill="1" applyBorder="1"/>
    <xf numFmtId="0" fontId="1" fillId="23" borderId="9" xfId="0" applyFont="1" applyFill="1" applyBorder="1"/>
    <xf numFmtId="165" fontId="26" fillId="23" borderId="8" xfId="0" applyNumberFormat="1" applyFont="1" applyFill="1" applyBorder="1"/>
    <xf numFmtId="166" fontId="26" fillId="25" borderId="10" xfId="0" applyNumberFormat="1" applyFont="1" applyFill="1" applyBorder="1"/>
    <xf numFmtId="166" fontId="26" fillId="25" borderId="21" xfId="0" applyNumberFormat="1" applyFont="1" applyFill="1" applyBorder="1"/>
    <xf numFmtId="164" fontId="26" fillId="25" borderId="10" xfId="0" applyNumberFormat="1" applyFont="1" applyFill="1" applyBorder="1"/>
    <xf numFmtId="0" fontId="26" fillId="25" borderId="10" xfId="0" applyFont="1" applyFill="1" applyBorder="1"/>
    <xf numFmtId="0" fontId="26" fillId="25" borderId="9" xfId="0" applyFont="1" applyFill="1" applyBorder="1"/>
    <xf numFmtId="165" fontId="26" fillId="25" borderId="9" xfId="0" applyNumberFormat="1" applyFont="1" applyFill="1" applyBorder="1"/>
    <xf numFmtId="165" fontId="1" fillId="25" borderId="8" xfId="0" applyNumberFormat="1" applyFont="1" applyFill="1" applyBorder="1"/>
    <xf numFmtId="164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5" fontId="8" fillId="0" borderId="9" xfId="0" quotePrefix="1" applyNumberFormat="1" applyFont="1" applyBorder="1"/>
    <xf numFmtId="165" fontId="16" fillId="2" borderId="9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66" fontId="16" fillId="26" borderId="10" xfId="0" applyNumberFormat="1" applyFont="1" applyFill="1" applyBorder="1" applyAlignment="1">
      <alignment horizontal="right"/>
    </xf>
    <xf numFmtId="164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4" fillId="0" borderId="10" xfId="0" applyFont="1" applyBorder="1"/>
    <xf numFmtId="0" fontId="44" fillId="0" borderId="9" xfId="0" applyFont="1" applyBorder="1"/>
    <xf numFmtId="165" fontId="44" fillId="0" borderId="9" xfId="0" applyNumberFormat="1" applyFont="1" applyBorder="1"/>
    <xf numFmtId="165" fontId="44" fillId="0" borderId="8" xfId="0" applyNumberFormat="1" applyFont="1" applyBorder="1"/>
    <xf numFmtId="0" fontId="44" fillId="23" borderId="10" xfId="0" applyFont="1" applyFill="1" applyBorder="1"/>
    <xf numFmtId="0" fontId="44" fillId="23" borderId="9" xfId="0" applyFont="1" applyFill="1" applyBorder="1"/>
    <xf numFmtId="165" fontId="44" fillId="2" borderId="9" xfId="0" applyNumberFormat="1" applyFont="1" applyFill="1" applyBorder="1"/>
    <xf numFmtId="165" fontId="44" fillId="2" borderId="8" xfId="0" applyNumberFormat="1" applyFont="1" applyFill="1" applyBorder="1"/>
    <xf numFmtId="166" fontId="7" fillId="2" borderId="24" xfId="0" applyNumberFormat="1" applyFont="1" applyFill="1" applyBorder="1" applyAlignment="1">
      <alignment horizontal="right"/>
    </xf>
    <xf numFmtId="166" fontId="32" fillId="2" borderId="10" xfId="0" applyNumberFormat="1" applyFont="1" applyFill="1" applyBorder="1"/>
    <xf numFmtId="166" fontId="16" fillId="2" borderId="10" xfId="0" applyNumberFormat="1" applyFont="1" applyFill="1" applyBorder="1" applyAlignment="1">
      <alignment horizontal="right"/>
    </xf>
    <xf numFmtId="166" fontId="16" fillId="2" borderId="21" xfId="0" applyNumberFormat="1" applyFont="1" applyFill="1" applyBorder="1" applyAlignment="1">
      <alignment horizontal="right"/>
    </xf>
    <xf numFmtId="0" fontId="44" fillId="26" borderId="10" xfId="0" applyFont="1" applyFill="1" applyBorder="1"/>
    <xf numFmtId="0" fontId="44" fillId="26" borderId="9" xfId="0" applyFont="1" applyFill="1" applyBorder="1"/>
    <xf numFmtId="165" fontId="44" fillId="26" borderId="9" xfId="0" applyNumberFormat="1" applyFont="1" applyFill="1" applyBorder="1"/>
    <xf numFmtId="165" fontId="44" fillId="26" borderId="8" xfId="0" applyNumberFormat="1" applyFont="1" applyFill="1" applyBorder="1"/>
    <xf numFmtId="0" fontId="6" fillId="2" borderId="9" xfId="0" quotePrefix="1" applyFont="1" applyFill="1" applyBorder="1"/>
    <xf numFmtId="166" fontId="5" fillId="2" borderId="13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5" fillId="24" borderId="10" xfId="0" applyNumberFormat="1" applyFont="1" applyFill="1" applyBorder="1" applyAlignment="1">
      <alignment horizontal="right"/>
    </xf>
    <xf numFmtId="166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6" fontId="2" fillId="25" borderId="21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8" fillId="24" borderId="2" xfId="0" applyNumberFormat="1" applyFont="1" applyFill="1" applyBorder="1" applyAlignment="1">
      <alignment horizontal="right"/>
    </xf>
    <xf numFmtId="165" fontId="8" fillId="0" borderId="2" xfId="0" applyNumberFormat="1" applyFont="1" applyBorder="1" applyAlignment="1">
      <alignment horizontal="center"/>
    </xf>
    <xf numFmtId="166" fontId="2" fillId="22" borderId="12" xfId="0" applyNumberFormat="1" applyFont="1" applyFill="1" applyBorder="1"/>
    <xf numFmtId="164" fontId="2" fillId="22" borderId="12" xfId="0" applyNumberFormat="1" applyFont="1" applyFill="1" applyBorder="1"/>
    <xf numFmtId="165" fontId="2" fillId="22" borderId="12" xfId="0" applyNumberFormat="1" applyFont="1" applyFill="1" applyBorder="1"/>
    <xf numFmtId="0" fontId="2" fillId="22" borderId="12" xfId="0" applyFont="1" applyFill="1" applyBorder="1"/>
    <xf numFmtId="167" fontId="2" fillId="22" borderId="12" xfId="0" applyNumberFormat="1" applyFont="1" applyFill="1" applyBorder="1"/>
    <xf numFmtId="165" fontId="5" fillId="22" borderId="11" xfId="0" applyNumberFormat="1" applyFont="1" applyFill="1" applyBorder="1"/>
    <xf numFmtId="166" fontId="2" fillId="22" borderId="21" xfId="0" applyNumberFormat="1" applyFont="1" applyFill="1" applyBorder="1"/>
    <xf numFmtId="166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6" fontId="7" fillId="20" borderId="21" xfId="0" applyNumberFormat="1" applyFont="1" applyFill="1" applyBorder="1" applyAlignment="1">
      <alignment horizontal="right"/>
    </xf>
    <xf numFmtId="166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6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0" fontId="5" fillId="20" borderId="9" xfId="0" applyFont="1" applyFill="1" applyBorder="1" applyAlignment="1">
      <alignment horizontal="center"/>
    </xf>
    <xf numFmtId="166" fontId="2" fillId="19" borderId="21" xfId="0" applyNumberFormat="1" applyFont="1" applyFill="1" applyBorder="1"/>
    <xf numFmtId="166" fontId="2" fillId="18" borderId="21" xfId="0" applyNumberFormat="1" applyFont="1" applyFill="1" applyBorder="1"/>
    <xf numFmtId="166" fontId="7" fillId="16" borderId="21" xfId="0" applyNumberFormat="1" applyFont="1" applyFill="1" applyBorder="1" applyAlignment="1">
      <alignment horizontal="right"/>
    </xf>
    <xf numFmtId="166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6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0" fontId="5" fillId="16" borderId="9" xfId="0" applyFont="1" applyFill="1" applyBorder="1" applyAlignment="1">
      <alignment horizontal="center"/>
    </xf>
    <xf numFmtId="166" fontId="2" fillId="15" borderId="21" xfId="0" applyNumberFormat="1" applyFont="1" applyFill="1" applyBorder="1"/>
    <xf numFmtId="0" fontId="2" fillId="15" borderId="8" xfId="0" applyFont="1" applyFill="1" applyBorder="1"/>
    <xf numFmtId="166" fontId="5" fillId="13" borderId="2" xfId="0" applyNumberFormat="1" applyFont="1" applyFill="1" applyBorder="1" applyAlignment="1">
      <alignment horizontal="right"/>
    </xf>
    <xf numFmtId="166" fontId="5" fillId="13" borderId="20" xfId="0" applyNumberFormat="1" applyFont="1" applyFill="1" applyBorder="1" applyAlignment="1">
      <alignment horizontal="right"/>
    </xf>
    <xf numFmtId="0" fontId="46" fillId="0" borderId="7" xfId="0" applyFont="1" applyBorder="1"/>
    <xf numFmtId="166" fontId="7" fillId="12" borderId="21" xfId="0" applyNumberFormat="1" applyFont="1" applyFill="1" applyBorder="1" applyAlignment="1">
      <alignment horizontal="right"/>
    </xf>
    <xf numFmtId="166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6" fontId="5" fillId="12" borderId="21" xfId="0" applyNumberFormat="1" applyFont="1" applyFill="1" applyBorder="1" applyAlignment="1">
      <alignment horizontal="right"/>
    </xf>
    <xf numFmtId="0" fontId="5" fillId="12" borderId="9" xfId="0" applyFont="1" applyFill="1" applyBorder="1" applyAlignment="1">
      <alignment horizontal="center"/>
    </xf>
    <xf numFmtId="166" fontId="2" fillId="11" borderId="20" xfId="0" applyNumberFormat="1" applyFont="1" applyFill="1" applyBorder="1"/>
    <xf numFmtId="166" fontId="5" fillId="7" borderId="20" xfId="0" applyNumberFormat="1" applyFont="1" applyFill="1" applyBorder="1" applyAlignment="1">
      <alignment horizontal="center" wrapText="1"/>
    </xf>
    <xf numFmtId="166" fontId="5" fillId="6" borderId="26" xfId="0" applyNumberFormat="1" applyFont="1" applyFill="1" applyBorder="1" applyAlignment="1">
      <alignment horizontal="center" vertical="center"/>
    </xf>
    <xf numFmtId="165" fontId="5" fillId="6" borderId="26" xfId="0" applyNumberFormat="1" applyFont="1" applyFill="1" applyBorder="1" applyAlignment="1">
      <alignment horizontal="center" vertical="center" wrapText="1"/>
    </xf>
    <xf numFmtId="0" fontId="4" fillId="0" borderId="20" xfId="0" applyFont="1" applyBorder="1"/>
    <xf numFmtId="166" fontId="5" fillId="7" borderId="7" xfId="0" applyNumberFormat="1" applyFont="1" applyFill="1" applyBorder="1" applyAlignment="1">
      <alignment horizontal="center" wrapText="1"/>
    </xf>
    <xf numFmtId="0" fontId="4" fillId="0" borderId="23" xfId="0" applyFont="1" applyBorder="1"/>
    <xf numFmtId="0" fontId="4" fillId="0" borderId="5" xfId="0" applyFont="1" applyBorder="1"/>
    <xf numFmtId="165" fontId="3" fillId="3" borderId="25" xfId="0" applyNumberFormat="1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0" fontId="5" fillId="6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7" fillId="2" borderId="9" xfId="0" applyFont="1" applyFill="1" applyBorder="1"/>
    <xf numFmtId="165" fontId="16" fillId="2" borderId="10" xfId="0" applyNumberFormat="1" applyFont="1" applyFill="1" applyBorder="1" applyAlignment="1">
      <alignment horizontal="center"/>
    </xf>
    <xf numFmtId="166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16" fillId="36" borderId="8" xfId="0" applyNumberFormat="1" applyFont="1" applyFill="1" applyBorder="1"/>
    <xf numFmtId="166" fontId="26" fillId="35" borderId="2" xfId="0" applyNumberFormat="1" applyFont="1" applyFill="1" applyBorder="1"/>
    <xf numFmtId="166" fontId="26" fillId="35" borderId="20" xfId="0" applyNumberFormat="1" applyFont="1" applyFill="1" applyBorder="1"/>
    <xf numFmtId="165" fontId="16" fillId="34" borderId="7" xfId="0" applyNumberFormat="1" applyFont="1" applyFill="1" applyBorder="1"/>
    <xf numFmtId="165" fontId="6" fillId="2" borderId="1" xfId="0" applyNumberFormat="1" applyFont="1" applyFill="1" applyBorder="1"/>
    <xf numFmtId="0" fontId="44" fillId="0" borderId="2" xfId="0" applyFont="1" applyBorder="1"/>
    <xf numFmtId="0" fontId="44" fillId="0" borderId="1" xfId="0" applyFont="1" applyBorder="1"/>
    <xf numFmtId="165" fontId="44" fillId="0" borderId="1" xfId="0" applyNumberFormat="1" applyFont="1" applyBorder="1"/>
    <xf numFmtId="165" fontId="44" fillId="0" borderId="7" xfId="0" applyNumberFormat="1" applyFont="1" applyBorder="1"/>
    <xf numFmtId="166" fontId="26" fillId="2" borderId="22" xfId="0" applyNumberFormat="1" applyFont="1" applyFill="1" applyBorder="1"/>
    <xf numFmtId="166" fontId="26" fillId="12" borderId="21" xfId="0" applyNumberFormat="1" applyFont="1" applyFill="1" applyBorder="1"/>
    <xf numFmtId="166" fontId="26" fillId="27" borderId="2" xfId="0" applyNumberFormat="1" applyFont="1" applyFill="1" applyBorder="1"/>
    <xf numFmtId="166" fontId="26" fillId="27" borderId="20" xfId="0" applyNumberFormat="1" applyFont="1" applyFill="1" applyBorder="1"/>
    <xf numFmtId="164" fontId="26" fillId="27" borderId="2" xfId="0" applyNumberFormat="1" applyFont="1" applyFill="1" applyBorder="1"/>
    <xf numFmtId="165" fontId="26" fillId="27" borderId="2" xfId="0" applyNumberFormat="1" applyFont="1" applyFill="1" applyBorder="1"/>
    <xf numFmtId="0" fontId="26" fillId="27" borderId="2" xfId="0" applyFont="1" applyFill="1" applyBorder="1"/>
    <xf numFmtId="0" fontId="26" fillId="27" borderId="1" xfId="0" applyFont="1" applyFill="1" applyBorder="1"/>
    <xf numFmtId="165" fontId="26" fillId="27" borderId="1" xfId="0" applyNumberFormat="1" applyFont="1" applyFill="1" applyBorder="1"/>
    <xf numFmtId="165" fontId="26" fillId="27" borderId="7" xfId="0" applyNumberFormat="1" applyFont="1" applyFill="1" applyBorder="1"/>
    <xf numFmtId="166" fontId="26" fillId="27" borderId="10" xfId="0" applyNumberFormat="1" applyFont="1" applyFill="1" applyBorder="1"/>
    <xf numFmtId="166" fontId="26" fillId="27" borderId="21" xfId="0" applyNumberFormat="1" applyFont="1" applyFill="1" applyBorder="1"/>
    <xf numFmtId="164" fontId="26" fillId="27" borderId="10" xfId="0" applyNumberFormat="1" applyFont="1" applyFill="1" applyBorder="1"/>
    <xf numFmtId="165" fontId="26" fillId="27" borderId="10" xfId="0" applyNumberFormat="1" applyFont="1" applyFill="1" applyBorder="1"/>
    <xf numFmtId="0" fontId="26" fillId="27" borderId="10" xfId="0" applyFont="1" applyFill="1" applyBorder="1"/>
    <xf numFmtId="0" fontId="26" fillId="27" borderId="9" xfId="0" applyFont="1" applyFill="1" applyBorder="1"/>
    <xf numFmtId="165" fontId="26" fillId="27" borderId="9" xfId="0" applyNumberFormat="1" applyFont="1" applyFill="1" applyBorder="1"/>
    <xf numFmtId="165" fontId="26" fillId="27" borderId="8" xfId="0" applyNumberFormat="1" applyFont="1" applyFill="1" applyBorder="1"/>
    <xf numFmtId="165" fontId="7" fillId="2" borderId="12" xfId="0" applyNumberFormat="1" applyFont="1" applyFill="1" applyBorder="1"/>
    <xf numFmtId="0" fontId="23" fillId="0" borderId="10" xfId="0" applyFont="1" applyBorder="1" applyAlignment="1">
      <alignment horizontal="center"/>
    </xf>
    <xf numFmtId="165" fontId="23" fillId="0" borderId="9" xfId="0" quotePrefix="1" applyNumberFormat="1" applyFont="1" applyBorder="1"/>
    <xf numFmtId="166" fontId="1" fillId="26" borderId="10" xfId="0" applyNumberFormat="1" applyFont="1" applyFill="1" applyBorder="1" applyAlignment="1">
      <alignment horizontal="right"/>
    </xf>
    <xf numFmtId="164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26" fillId="26" borderId="10" xfId="0" applyFont="1" applyFill="1" applyBorder="1"/>
    <xf numFmtId="0" fontId="26" fillId="26" borderId="9" xfId="0" applyFont="1" applyFill="1" applyBorder="1"/>
    <xf numFmtId="0" fontId="1" fillId="26" borderId="9" xfId="0" applyFont="1" applyFill="1" applyBorder="1"/>
    <xf numFmtId="165" fontId="26" fillId="26" borderId="9" xfId="0" applyNumberFormat="1" applyFont="1" applyFill="1" applyBorder="1"/>
    <xf numFmtId="165" fontId="26" fillId="26" borderId="8" xfId="0" applyNumberFormat="1" applyFont="1" applyFill="1" applyBorder="1"/>
    <xf numFmtId="170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/>
    <xf numFmtId="166" fontId="23" fillId="2" borderId="13" xfId="0" applyNumberFormat="1" applyFont="1" applyFill="1" applyBorder="1" applyAlignment="1">
      <alignment horizontal="right"/>
    </xf>
    <xf numFmtId="164" fontId="23" fillId="24" borderId="13" xfId="0" applyNumberFormat="1" applyFont="1" applyFill="1" applyBorder="1" applyAlignment="1">
      <alignment horizontal="right"/>
    </xf>
    <xf numFmtId="164" fontId="23" fillId="2" borderId="13" xfId="0" applyNumberFormat="1" applyFont="1" applyFill="1" applyBorder="1" applyAlignment="1">
      <alignment horizontal="right"/>
    </xf>
    <xf numFmtId="165" fontId="23" fillId="2" borderId="13" xfId="0" applyNumberFormat="1" applyFont="1" applyFill="1" applyBorder="1" applyAlignment="1">
      <alignment horizontal="center"/>
    </xf>
    <xf numFmtId="0" fontId="26" fillId="2" borderId="13" xfId="0" applyFont="1" applyFill="1" applyBorder="1"/>
    <xf numFmtId="0" fontId="26" fillId="2" borderId="12" xfId="0" applyFont="1" applyFill="1" applyBorder="1"/>
    <xf numFmtId="0" fontId="23" fillId="2" borderId="12" xfId="0" quotePrefix="1" applyFont="1" applyFill="1" applyBorder="1"/>
    <xf numFmtId="165" fontId="26" fillId="2" borderId="12" xfId="0" applyNumberFormat="1" applyFont="1" applyFill="1" applyBorder="1"/>
    <xf numFmtId="46" fontId="26" fillId="2" borderId="11" xfId="0" applyNumberFormat="1" applyFont="1" applyFill="1" applyBorder="1"/>
    <xf numFmtId="166" fontId="44" fillId="0" borderId="2" xfId="0" applyNumberFormat="1" applyFont="1" applyBorder="1"/>
    <xf numFmtId="166" fontId="44" fillId="0" borderId="20" xfId="0" applyNumberFormat="1" applyFont="1" applyBorder="1"/>
    <xf numFmtId="166" fontId="2" fillId="13" borderId="10" xfId="0" applyNumberFormat="1" applyFont="1" applyFill="1" applyBorder="1"/>
    <xf numFmtId="166" fontId="2" fillId="13" borderId="21" xfId="0" applyNumberFormat="1" applyFont="1" applyFill="1" applyBorder="1"/>
    <xf numFmtId="166" fontId="2" fillId="31" borderId="7" xfId="0" applyNumberFormat="1" applyFont="1" applyFill="1" applyBorder="1"/>
    <xf numFmtId="166" fontId="2" fillId="28" borderId="7" xfId="0" applyNumberFormat="1" applyFont="1" applyFill="1" applyBorder="1"/>
    <xf numFmtId="166" fontId="32" fillId="2" borderId="21" xfId="0" applyNumberFormat="1" applyFont="1" applyFill="1" applyBorder="1"/>
    <xf numFmtId="166" fontId="2" fillId="9" borderId="7" xfId="0" applyNumberFormat="1" applyFont="1" applyFill="1" applyBorder="1"/>
    <xf numFmtId="166" fontId="2" fillId="21" borderId="7" xfId="0" applyNumberFormat="1" applyFont="1" applyFill="1" applyBorder="1"/>
    <xf numFmtId="166" fontId="2" fillId="17" borderId="7" xfId="0" applyNumberFormat="1" applyFont="1" applyFill="1" applyBorder="1"/>
    <xf numFmtId="166" fontId="2" fillId="14" borderId="7" xfId="0" applyNumberFormat="1" applyFont="1" applyFill="1" applyBorder="1"/>
    <xf numFmtId="166" fontId="2" fillId="13" borderId="20" xfId="0" applyNumberFormat="1" applyFont="1" applyFill="1" applyBorder="1"/>
    <xf numFmtId="166" fontId="5" fillId="12" borderId="19" xfId="0" applyNumberFormat="1" applyFont="1" applyFill="1" applyBorder="1" applyAlignment="1">
      <alignment horizontal="right"/>
    </xf>
    <xf numFmtId="166" fontId="5" fillId="12" borderId="31" xfId="0" applyNumberFormat="1" applyFont="1" applyFill="1" applyBorder="1" applyAlignment="1">
      <alignment horizontal="right"/>
    </xf>
    <xf numFmtId="166" fontId="23" fillId="0" borderId="10" xfId="0" applyNumberFormat="1" applyFont="1" applyBorder="1" applyAlignment="1">
      <alignment horizontal="right"/>
    </xf>
    <xf numFmtId="164" fontId="23" fillId="0" borderId="10" xfId="0" applyNumberFormat="1" applyFont="1" applyBorder="1" applyAlignment="1">
      <alignment horizontal="right"/>
    </xf>
    <xf numFmtId="0" fontId="1" fillId="0" borderId="9" xfId="0" applyFont="1" applyBorder="1"/>
    <xf numFmtId="166" fontId="1" fillId="0" borderId="10" xfId="0" applyNumberFormat="1" applyFont="1" applyBorder="1" applyAlignment="1">
      <alignment horizontal="right"/>
    </xf>
    <xf numFmtId="164" fontId="1" fillId="2" borderId="10" xfId="0" applyNumberFormat="1" applyFont="1" applyFill="1" applyBorder="1" applyAlignment="1">
      <alignment horizontal="right"/>
    </xf>
    <xf numFmtId="0" fontId="1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1" fillId="2" borderId="9" xfId="0" applyFont="1" applyFill="1" applyBorder="1"/>
    <xf numFmtId="164" fontId="2" fillId="2" borderId="13" xfId="0" applyNumberFormat="1" applyFont="1" applyFill="1" applyBorder="1"/>
    <xf numFmtId="164" fontId="7" fillId="41" borderId="10" xfId="0" applyNumberFormat="1" applyFont="1" applyFill="1" applyBorder="1"/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3" bestFit="1" customWidth="1"/>
    <col min="15" max="15" width="19.28515625" bestFit="1" customWidth="1"/>
    <col min="16" max="16" width="20.85546875" bestFit="1" customWidth="1"/>
    <col min="17" max="18" width="23" bestFit="1" customWidth="1"/>
    <col min="19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521" t="s">
        <v>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ht="19.5" x14ac:dyDescent="0.3">
      <c r="A2" s="521" t="s">
        <v>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</row>
    <row r="3" spans="1:21" ht="19.5" x14ac:dyDescent="0.3">
      <c r="A3" s="521" t="s">
        <v>334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</row>
    <row r="4" spans="1:21" ht="19.5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523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534" t="s">
        <v>4</v>
      </c>
      <c r="B5" s="522"/>
      <c r="C5" s="522"/>
      <c r="D5" s="522"/>
      <c r="E5" s="522"/>
      <c r="F5" s="522"/>
      <c r="G5" s="535"/>
      <c r="H5" s="5" t="s">
        <v>5</v>
      </c>
      <c r="I5" s="527" t="s">
        <v>6</v>
      </c>
      <c r="J5" s="518"/>
      <c r="K5" s="519"/>
      <c r="L5" s="520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37"/>
      <c r="B7" s="518"/>
      <c r="C7" s="518"/>
      <c r="D7" s="518"/>
      <c r="E7" s="518"/>
      <c r="F7" s="518"/>
      <c r="G7" s="519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t="shared" ref="L18:N18" ca="1" si="0">L19+L20</f>
        <v>92883443</v>
      </c>
      <c r="M18" s="35">
        <f t="shared" ca="1" si="0"/>
        <v>96172764.920000002</v>
      </c>
      <c r="N18" s="35">
        <f t="shared" ca="1" si="0"/>
        <v>72872894.169999987</v>
      </c>
      <c r="O18" s="35">
        <f t="shared" ref="O18:O26" ca="1" si="1">IF(L18&gt;0,N18*100/L18,0)</f>
        <v>78.456280060591624</v>
      </c>
      <c r="P18" s="35">
        <f t="shared" ref="P18:P26" ca="1" si="2">IF(M18&gt;0,N18*100/M18,0)</f>
        <v>75.772901226889246</v>
      </c>
      <c r="Q18" s="35">
        <f t="shared" ref="Q18:S18" ca="1" si="3">Q19+Q20</f>
        <v>22341144.07</v>
      </c>
      <c r="R18" s="35">
        <f t="shared" ca="1" si="3"/>
        <v>22441279.5</v>
      </c>
      <c r="S18" s="35">
        <f t="shared" ca="1" si="3"/>
        <v>8852077.7099999897</v>
      </c>
      <c r="T18" s="35">
        <f t="shared" ref="T18:T26" ca="1" si="4">IF(Q18&gt;0,S18*100/Q18,0)</f>
        <v>39.622311562310195</v>
      </c>
      <c r="U18" s="35">
        <f t="shared" ref="U18:U26" ca="1" si="5">IF(R18&gt;0,S18*100/R18,0)</f>
        <v>39.445512498518589</v>
      </c>
    </row>
    <row r="19" spans="1:21" ht="18.75" hidden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19" ca="1" si="6">L22+L25</f>
        <v>0</v>
      </c>
      <c r="M19" s="38">
        <f t="shared" ca="1" si="6"/>
        <v>0</v>
      </c>
      <c r="N19" s="38">
        <f t="shared" ca="1" si="6"/>
        <v>0</v>
      </c>
      <c r="O19" s="38">
        <f t="shared" ca="1" si="1"/>
        <v>0</v>
      </c>
      <c r="P19" s="38">
        <f t="shared" ca="1" si="2"/>
        <v>0</v>
      </c>
      <c r="Q19" s="38">
        <f t="shared" ref="Q19:S19" ca="1" si="7">Q22+Q25</f>
        <v>0</v>
      </c>
      <c r="R19" s="38">
        <f t="shared" ca="1" si="7"/>
        <v>0</v>
      </c>
      <c r="S19" s="38">
        <f t="shared" ca="1" si="7"/>
        <v>0</v>
      </c>
      <c r="T19" s="38">
        <f t="shared" ca="1" si="4"/>
        <v>0</v>
      </c>
      <c r="U19" s="38">
        <f t="shared" ca="1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ref="L20:N20" ca="1" si="8">L23+L26</f>
        <v>92883443</v>
      </c>
      <c r="M20" s="39">
        <f t="shared" ca="1" si="8"/>
        <v>96172764.920000002</v>
      </c>
      <c r="N20" s="39">
        <f t="shared" ca="1" si="8"/>
        <v>72872894.169999987</v>
      </c>
      <c r="O20" s="39">
        <f t="shared" ca="1" si="1"/>
        <v>78.456280060591624</v>
      </c>
      <c r="P20" s="39">
        <f t="shared" ca="1" si="2"/>
        <v>75.772901226889246</v>
      </c>
      <c r="Q20" s="39">
        <f t="shared" ref="Q20:S20" ca="1" si="9">Q23+Q26</f>
        <v>22341144.07</v>
      </c>
      <c r="R20" s="39">
        <f t="shared" ca="1" si="9"/>
        <v>22441279.5</v>
      </c>
      <c r="S20" s="39">
        <f t="shared" ca="1" si="9"/>
        <v>8852077.7099999897</v>
      </c>
      <c r="T20" s="39">
        <f t="shared" ca="1" si="4"/>
        <v>39.622311562310195</v>
      </c>
      <c r="U20" s="39">
        <f t="shared" ca="1" si="5"/>
        <v>39.445512498518589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t="shared" ref="L21:N21" ca="1" si="10">L22+L23</f>
        <v>37825043</v>
      </c>
      <c r="M21" s="47">
        <f t="shared" ca="1" si="10"/>
        <v>41328564.920000002</v>
      </c>
      <c r="N21" s="47">
        <f t="shared" ca="1" si="10"/>
        <v>28704997.779999986</v>
      </c>
      <c r="O21" s="47">
        <f t="shared" ca="1" si="1"/>
        <v>75.888870185818391</v>
      </c>
      <c r="P21" s="47">
        <f t="shared" ca="1" si="2"/>
        <v>69.455588006901408</v>
      </c>
      <c r="Q21" s="47">
        <f t="shared" ref="Q21:S21" ca="1" si="11">Q22+Q23</f>
        <v>18341144.07</v>
      </c>
      <c r="R21" s="47">
        <f t="shared" ca="1" si="11"/>
        <v>18441279.5</v>
      </c>
      <c r="S21" s="47">
        <f t="shared" ca="1" si="11"/>
        <v>8852077.7099999897</v>
      </c>
      <c r="T21" s="47">
        <f t="shared" ca="1" si="4"/>
        <v>48.2634980468805</v>
      </c>
      <c r="U21" s="47">
        <f t="shared" ca="1" si="5"/>
        <v>48.001429130771484</v>
      </c>
    </row>
    <row r="22" spans="1:21" ht="18.75" hidden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2" ca="1" si="12">L48+L63+L76+L98+L121+L143+L161+L190+L177+L270+L286+L307+L324+L337+L360+L379+L396+L417+L497+L517+L538+L559+L580+L603+L620+L646+L694+L718+L732+L764</f>
        <v>0</v>
      </c>
      <c r="M22" s="49">
        <f t="shared" ca="1" si="12"/>
        <v>0</v>
      </c>
      <c r="N22" s="49">
        <f t="shared" ca="1" si="12"/>
        <v>0</v>
      </c>
      <c r="O22" s="49">
        <f t="shared" ca="1" si="1"/>
        <v>0</v>
      </c>
      <c r="P22" s="49">
        <f t="shared" ca="1" si="2"/>
        <v>0</v>
      </c>
      <c r="Q22" s="49">
        <f t="shared" ref="Q22:S22" ca="1" si="13">Q48+Q63+Q76+Q98+Q121+Q143+Q161+Q190+Q177+Q270+Q286+Q307+Q324+Q337+Q360+Q379+Q396+Q417+Q497+Q517+Q538+Q559+Q580+Q603+Q620+Q646+Q694+Q718+Q732+Q764</f>
        <v>0</v>
      </c>
      <c r="R22" s="49">
        <f t="shared" ca="1" si="13"/>
        <v>0</v>
      </c>
      <c r="S22" s="49">
        <f t="shared" ca="1" si="13"/>
        <v>0</v>
      </c>
      <c r="T22" s="49">
        <f t="shared" ca="1" si="4"/>
        <v>0</v>
      </c>
      <c r="U22" s="49">
        <f t="shared" ca="1" si="5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ref="L23:N23" ca="1" si="14">L49+L64+L77+L99+L122+L144+L162+L191+L178+L271+L287+L308+L325+L338+L361+L380+L418+L498+L518+L539+L560+L581+L604+L621+L647+L695+L719+L733+L765</f>
        <v>37825043</v>
      </c>
      <c r="M23" s="47">
        <f t="shared" ca="1" si="14"/>
        <v>41328564.920000002</v>
      </c>
      <c r="N23" s="47">
        <f t="shared" ca="1" si="14"/>
        <v>28704997.779999986</v>
      </c>
      <c r="O23" s="47">
        <f t="shared" ca="1" si="1"/>
        <v>75.888870185818391</v>
      </c>
      <c r="P23" s="47">
        <f t="shared" ca="1" si="2"/>
        <v>69.455588006901408</v>
      </c>
      <c r="Q23" s="47">
        <f t="shared" ref="Q23:S23" ca="1" si="15">Q49+Q64+Q77+Q99+Q122+Q144+Q162+Q191+Q178+Q271+Q287+Q308+Q325+Q338+Q361+Q380+Q397+Q418+Q498+Q518+Q539+Q560+Q581+Q604+Q621+Q647+Q695+Q719+Q733+Q765</f>
        <v>18341144.07</v>
      </c>
      <c r="R23" s="47">
        <f t="shared" ca="1" si="15"/>
        <v>18441279.5</v>
      </c>
      <c r="S23" s="47">
        <f t="shared" ca="1" si="15"/>
        <v>8852077.7099999897</v>
      </c>
      <c r="T23" s="47">
        <f t="shared" ca="1" si="4"/>
        <v>48.2634980468805</v>
      </c>
      <c r="U23" s="47">
        <f t="shared" ca="1" si="5"/>
        <v>48.001429130771484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t="shared" ref="L24:N24" ca="1" si="16">L25+L26</f>
        <v>55058400</v>
      </c>
      <c r="M24" s="47">
        <f t="shared" ca="1" si="16"/>
        <v>54844200</v>
      </c>
      <c r="N24" s="47">
        <f t="shared" ca="1" si="16"/>
        <v>44167896.390000001</v>
      </c>
      <c r="O24" s="47">
        <f t="shared" ca="1" si="1"/>
        <v>80.220087016695004</v>
      </c>
      <c r="P24" s="47">
        <f t="shared" ca="1" si="2"/>
        <v>80.533395308893191</v>
      </c>
      <c r="Q24" s="47">
        <f t="shared" ref="Q24:S24" ca="1" si="17">Q25+Q26</f>
        <v>4000000</v>
      </c>
      <c r="R24" s="47">
        <f t="shared" ca="1" si="17"/>
        <v>4000000</v>
      </c>
      <c r="S24" s="47">
        <f t="shared" ca="1" si="17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5" ca="1" si="18">L51+L66+L79+L101+L124+L146+L164+L193+L180+L273+L289+L310+L327+L340+L363+L382+L399+L420+L500+L520+L541+L562+L583+L606+L623+L649+L697+L721+L735+L767</f>
        <v>0</v>
      </c>
      <c r="M25" s="49">
        <f t="shared" ca="1" si="18"/>
        <v>0</v>
      </c>
      <c r="N25" s="49">
        <f t="shared" ca="1" si="18"/>
        <v>0</v>
      </c>
      <c r="O25" s="49">
        <f t="shared" ca="1" si="1"/>
        <v>0</v>
      </c>
      <c r="P25" s="49">
        <f t="shared" ca="1" si="2"/>
        <v>0</v>
      </c>
      <c r="Q25" s="49">
        <f t="shared" ref="Q25:S25" ca="1" si="19">Q51+Q66+Q79+Q101+Q124+Q146+Q164+Q193+Q180+Q273+Q289+Q310+Q327+Q340+Q363+Q382+Q399+Q420+Q500+Q520+Q541+Q562+Q583+Q606+Q623+Q649+Q697+Q721+Q735+Q767</f>
        <v>0</v>
      </c>
      <c r="R25" s="49">
        <f t="shared" ca="1" si="19"/>
        <v>0</v>
      </c>
      <c r="S25" s="49">
        <f t="shared" ca="1" si="19"/>
        <v>0</v>
      </c>
      <c r="T25" s="49">
        <f t="shared" ca="1" si="4"/>
        <v>0</v>
      </c>
      <c r="U25" s="49">
        <f t="shared" ca="1" si="5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ref="L26:N26" ca="1" si="20">L52+L67+L80+L102+L125+L147+L165+L194+L181+L274+L290+L311+L328+L341+L364+L383+L421+L501+L521+L542+L563+L584+L607+L624+L650+L698+L722+L736+L768</f>
        <v>55058400</v>
      </c>
      <c r="M26" s="47">
        <f t="shared" ca="1" si="20"/>
        <v>54844200</v>
      </c>
      <c r="N26" s="47">
        <f t="shared" ca="1" si="20"/>
        <v>44167896.390000001</v>
      </c>
      <c r="O26" s="47">
        <f t="shared" ca="1" si="1"/>
        <v>80.220087016695004</v>
      </c>
      <c r="P26" s="47">
        <f t="shared" ca="1" si="2"/>
        <v>80.533395308893191</v>
      </c>
      <c r="Q26" s="47">
        <f t="shared" ref="Q26:S26" ca="1" si="21">Q52+Q67+Q80+Q102+Q125+Q147+Q165+Q194+Q181+Q274+Q290+Q311+Q328+Q341+Q364+Q383+Q400+Q421+Q501+Q521+Q542+Q563+Q584+Q607+Q624+Q650+Q698+Q722+Q736+Q768</f>
        <v>4000000</v>
      </c>
      <c r="R26" s="47">
        <f t="shared" ca="1" si="21"/>
        <v>4000000</v>
      </c>
      <c r="S26" s="47">
        <f t="shared" ca="1" si="21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37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t="shared" ref="L44:N44" ca="1" si="22">L45+L46</f>
        <v>5977837</v>
      </c>
      <c r="M44" s="79">
        <f t="shared" ca="1" si="22"/>
        <v>6583433.9199999999</v>
      </c>
      <c r="N44" s="79">
        <f t="shared" ca="1" si="22"/>
        <v>5185209.97</v>
      </c>
      <c r="O44" s="79">
        <f t="shared" ref="O44:O52" ca="1" si="23">IF(L44&gt;0,N44*100/L44,0)</f>
        <v>86.740571380584655</v>
      </c>
      <c r="P44" s="79">
        <f t="shared" ref="P44:P52" ca="1" si="24">IF(M44&gt;0,N44*100/M44,0)</f>
        <v>78.761479692956343</v>
      </c>
      <c r="Q44" s="79">
        <f t="shared" ref="Q44:S44" ca="1" si="25">Q45+Q46</f>
        <v>0</v>
      </c>
      <c r="R44" s="79">
        <f t="shared" ca="1" si="25"/>
        <v>0</v>
      </c>
      <c r="S44" s="79">
        <f t="shared" ca="1" si="25"/>
        <v>0</v>
      </c>
      <c r="T44" s="79">
        <f t="shared" ref="T44:T52" ca="1" si="26">IF(Q44&gt;0,S44*100/Q44,0)</f>
        <v>0</v>
      </c>
      <c r="U44" s="79">
        <f t="shared" ref="U44:U52" ca="1" si="27">IF(R44&gt;0,S44*100/R44,0)</f>
        <v>0</v>
      </c>
    </row>
    <row r="45" spans="1:21" ht="18.75" hidden="1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5" si="28">L48+L51</f>
        <v>0</v>
      </c>
      <c r="M45" s="82">
        <f t="shared" si="28"/>
        <v>0</v>
      </c>
      <c r="N45" s="82">
        <f t="shared" si="28"/>
        <v>0</v>
      </c>
      <c r="O45" s="82">
        <f t="shared" si="23"/>
        <v>0</v>
      </c>
      <c r="P45" s="82">
        <f t="shared" si="24"/>
        <v>0</v>
      </c>
      <c r="Q45" s="82">
        <f t="shared" ref="Q45:S45" si="29">Q48+Q51</f>
        <v>0</v>
      </c>
      <c r="R45" s="82">
        <f t="shared" si="29"/>
        <v>0</v>
      </c>
      <c r="S45" s="82">
        <f t="shared" si="29"/>
        <v>0</v>
      </c>
      <c r="T45" s="82">
        <f t="shared" si="26"/>
        <v>0</v>
      </c>
      <c r="U45" s="82">
        <f t="shared" si="27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ref="L46:N46" ca="1" si="30">L49+L52</f>
        <v>5977837</v>
      </c>
      <c r="M46" s="83">
        <f t="shared" ca="1" si="30"/>
        <v>6583433.9199999999</v>
      </c>
      <c r="N46" s="83">
        <f t="shared" ca="1" si="30"/>
        <v>5185209.97</v>
      </c>
      <c r="O46" s="83">
        <f t="shared" ca="1" si="23"/>
        <v>86.740571380584655</v>
      </c>
      <c r="P46" s="83">
        <f t="shared" ca="1" si="24"/>
        <v>78.761479692956343</v>
      </c>
      <c r="Q46" s="83">
        <f t="shared" ref="Q46:S46" ca="1" si="31">Q49+Q52</f>
        <v>0</v>
      </c>
      <c r="R46" s="83">
        <f t="shared" ca="1" si="31"/>
        <v>0</v>
      </c>
      <c r="S46" s="83">
        <f t="shared" ca="1" si="31"/>
        <v>0</v>
      </c>
      <c r="T46" s="83">
        <f t="shared" ca="1" si="26"/>
        <v>0</v>
      </c>
      <c r="U46" s="83">
        <f t="shared" ca="1" si="27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t="shared" ref="L47:N47" ca="1" si="32">L48+L49</f>
        <v>5977837</v>
      </c>
      <c r="M47" s="47">
        <f t="shared" ca="1" si="32"/>
        <v>6583433.9199999999</v>
      </c>
      <c r="N47" s="47">
        <f t="shared" ca="1" si="32"/>
        <v>5185209.97</v>
      </c>
      <c r="O47" s="47">
        <f t="shared" ca="1" si="23"/>
        <v>86.740571380584655</v>
      </c>
      <c r="P47" s="47">
        <f t="shared" ca="1" si="24"/>
        <v>78.761479692956343</v>
      </c>
      <c r="Q47" s="47">
        <f t="shared" ref="Q47:S47" ca="1" si="33">Q48+Q49</f>
        <v>0</v>
      </c>
      <c r="R47" s="47">
        <f t="shared" ca="1" si="33"/>
        <v>0</v>
      </c>
      <c r="S47" s="47">
        <f t="shared" ca="1" si="33"/>
        <v>0</v>
      </c>
      <c r="T47" s="47">
        <f t="shared" ca="1" si="26"/>
        <v>0</v>
      </c>
      <c r="U47" s="47">
        <f t="shared" ca="1" si="27"/>
        <v>0</v>
      </c>
    </row>
    <row r="48" spans="1:21" ht="18.75" hidden="1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23"/>
        <v>0</v>
      </c>
      <c r="P48" s="49">
        <f t="shared" si="24"/>
        <v>0</v>
      </c>
      <c r="Q48" s="49">
        <v>0</v>
      </c>
      <c r="R48" s="49">
        <v>0</v>
      </c>
      <c r="S48" s="49">
        <v>0</v>
      </c>
      <c r="T48" s="49">
        <f t="shared" si="26"/>
        <v>0</v>
      </c>
      <c r="U48" s="49">
        <f t="shared" si="27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5977837)</f>
        <v>5977837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6583433.92)</f>
        <v>6583433.9199999999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5185209.97)</f>
        <v>5185209.97</v>
      </c>
      <c r="O49" s="47">
        <f t="shared" ca="1" si="23"/>
        <v>86.740571380584655</v>
      </c>
      <c r="P49" s="47">
        <f t="shared" ca="1" si="24"/>
        <v>78.761479692956343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26"/>
        <v>0</v>
      </c>
      <c r="U49" s="47">
        <f t="shared" ca="1" si="27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t="shared" ref="L50:N50" ca="1" si="34">L51+L52</f>
        <v>0</v>
      </c>
      <c r="M50" s="47">
        <f t="shared" ca="1" si="34"/>
        <v>0</v>
      </c>
      <c r="N50" s="47">
        <f t="shared" ca="1" si="34"/>
        <v>0</v>
      </c>
      <c r="O50" s="47">
        <f t="shared" ca="1" si="23"/>
        <v>0</v>
      </c>
      <c r="P50" s="47">
        <f t="shared" ca="1" si="24"/>
        <v>0</v>
      </c>
      <c r="Q50" s="47">
        <f t="shared" ref="Q50:S50" ca="1" si="35">Q51+Q52</f>
        <v>0</v>
      </c>
      <c r="R50" s="47">
        <f t="shared" ca="1" si="35"/>
        <v>0</v>
      </c>
      <c r="S50" s="47">
        <f t="shared" ca="1" si="35"/>
        <v>0</v>
      </c>
      <c r="T50" s="47">
        <f t="shared" ca="1" si="26"/>
        <v>0</v>
      </c>
      <c r="U50" s="47">
        <f t="shared" ca="1" si="27"/>
        <v>0</v>
      </c>
    </row>
    <row r="51" spans="1:21" ht="18.75" hidden="1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23"/>
        <v>0</v>
      </c>
      <c r="P51" s="49">
        <f t="shared" si="24"/>
        <v>0</v>
      </c>
      <c r="Q51" s="49">
        <v>0</v>
      </c>
      <c r="R51" s="49">
        <v>0</v>
      </c>
      <c r="S51" s="49">
        <v>0</v>
      </c>
      <c r="T51" s="49">
        <f t="shared" si="26"/>
        <v>0</v>
      </c>
      <c r="U51" s="49">
        <f t="shared" si="27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23"/>
        <v>0</v>
      </c>
      <c r="P52" s="47">
        <f t="shared" ca="1" si="24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26"/>
        <v>0</v>
      </c>
      <c r="U52" s="47">
        <f t="shared" ca="1" si="27"/>
        <v>0</v>
      </c>
    </row>
    <row r="53" spans="1:21" ht="18.75" hidden="1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24879700</v>
      </c>
      <c r="M59" s="106">
        <f t="shared" ca="1" si="36"/>
        <v>25356722</v>
      </c>
      <c r="N59" s="106">
        <f t="shared" ca="1" si="36"/>
        <v>14265118.36999999</v>
      </c>
      <c r="O59" s="106">
        <f t="shared" ref="O59:O67" ca="1" si="37">IF(L59&gt;0,N59*100/L59,0)</f>
        <v>57.336376121898539</v>
      </c>
      <c r="P59" s="106">
        <f t="shared" ref="P59:P67" ca="1" si="38">IF(M59&gt;0,N59*100/M59,0)</f>
        <v>56.257738559424169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09">
        <f t="shared" ref="Q60:S60" ca="1" si="43">Q63+Q66</f>
        <v>0</v>
      </c>
      <c r="R60" s="109">
        <f t="shared" ca="1" si="43"/>
        <v>0</v>
      </c>
      <c r="S60" s="109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24879700</v>
      </c>
      <c r="M61" s="109">
        <f t="shared" ca="1" si="44"/>
        <v>25356722</v>
      </c>
      <c r="N61" s="109">
        <f t="shared" ca="1" si="44"/>
        <v>14265118.36999999</v>
      </c>
      <c r="O61" s="109">
        <f t="shared" ca="1" si="37"/>
        <v>57.336376121898539</v>
      </c>
      <c r="P61" s="109">
        <f t="shared" ca="1" si="38"/>
        <v>56.257738559424169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t="shared" ref="L62:N62" ca="1" si="46">L63+L64</f>
        <v>8933700</v>
      </c>
      <c r="M62" s="47">
        <f t="shared" ca="1" si="46"/>
        <v>9411722</v>
      </c>
      <c r="N62" s="47">
        <f t="shared" ca="1" si="46"/>
        <v>8089521.9799999902</v>
      </c>
      <c r="O62" s="47">
        <f t="shared" ca="1" si="37"/>
        <v>90.550633891892389</v>
      </c>
      <c r="P62" s="47">
        <f t="shared" ca="1" si="38"/>
        <v>85.951561042708136</v>
      </c>
      <c r="Q62" s="47">
        <f t="shared" ref="Q62:S62" ca="1" si="47">Q63+Q64</f>
        <v>0</v>
      </c>
      <c r="R62" s="47">
        <f t="shared" ca="1" si="47"/>
        <v>0</v>
      </c>
      <c r="S62" s="47">
        <f t="shared" ca="1" si="47"/>
        <v>0</v>
      </c>
      <c r="T62" s="47">
        <f t="shared" ca="1" si="40"/>
        <v>0</v>
      </c>
      <c r="U62" s="47">
        <f t="shared" ca="1" si="41"/>
        <v>0</v>
      </c>
    </row>
    <row r="63" spans="1:21" ht="18.75" hidden="1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37"/>
        <v>0</v>
      </c>
      <c r="P63" s="47">
        <f t="shared" ca="1" si="38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40"/>
        <v>0</v>
      </c>
      <c r="U63" s="49">
        <f t="shared" ca="1" si="41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8933700)</f>
        <v>8933700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9411722)</f>
        <v>9411722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8089521.97999999)</f>
        <v>8089521.9799999902</v>
      </c>
      <c r="O64" s="47">
        <f t="shared" ca="1" si="37"/>
        <v>90.550633891892389</v>
      </c>
      <c r="P64" s="47">
        <f t="shared" ca="1" si="38"/>
        <v>85.951561042708136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t="shared" ref="L65:N65" ca="1" si="48">L66+L67</f>
        <v>15946000</v>
      </c>
      <c r="M65" s="47">
        <f t="shared" ca="1" si="48"/>
        <v>15945000</v>
      </c>
      <c r="N65" s="47">
        <f t="shared" ca="1" si="48"/>
        <v>6175596.3899999997</v>
      </c>
      <c r="O65" s="47">
        <f t="shared" ca="1" si="37"/>
        <v>38.728185062084535</v>
      </c>
      <c r="P65" s="47">
        <f t="shared" ca="1" si="38"/>
        <v>38.730613922859831</v>
      </c>
      <c r="Q65" s="47">
        <f t="shared" ref="Q65:S65" ca="1" si="49">Q66+Q67</f>
        <v>0</v>
      </c>
      <c r="R65" s="47">
        <f t="shared" ca="1" si="49"/>
        <v>0</v>
      </c>
      <c r="S65" s="47">
        <f t="shared" ca="1" si="49"/>
        <v>0</v>
      </c>
      <c r="T65" s="47">
        <f t="shared" ca="1" si="40"/>
        <v>0</v>
      </c>
      <c r="U65" s="47">
        <f t="shared" ca="1" si="41"/>
        <v>0</v>
      </c>
    </row>
    <row r="66" spans="1:21" ht="18.75" hidden="1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37"/>
        <v>0</v>
      </c>
      <c r="P66" s="47">
        <f t="shared" ca="1" si="38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40"/>
        <v>0</v>
      </c>
      <c r="U66" s="49">
        <f t="shared" ca="1" si="41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15946000)</f>
        <v>15946000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15945000)</f>
        <v>15945000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6175596.39)</f>
        <v>6175596.3899999997</v>
      </c>
      <c r="O67" s="111">
        <f t="shared" ca="1" si="37"/>
        <v>38.728185062084535</v>
      </c>
      <c r="P67" s="111">
        <f t="shared" ca="1" si="38"/>
        <v>38.730613922859831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t="shared" ref="I70:J70" ca="1" si="50">I82</f>
        <v>4</v>
      </c>
      <c r="J70" s="127">
        <f t="shared" ca="1" si="50"/>
        <v>3</v>
      </c>
      <c r="K70" s="35">
        <f t="shared" ref="K70:K71" ca="1" si="51">IF(I70&gt;0,J70*100/I70,0)</f>
        <v>75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t="shared" ref="I71:J71" ca="1" si="52">I83</f>
        <v>121</v>
      </c>
      <c r="J71" s="127">
        <f t="shared" ca="1" si="52"/>
        <v>91</v>
      </c>
      <c r="K71" s="35">
        <f t="shared" ca="1" si="51"/>
        <v>75.206611570247929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130" t="s">
        <v>19</v>
      </c>
      <c r="E72" s="41"/>
      <c r="F72" s="41"/>
      <c r="G72" s="43"/>
      <c r="H72" s="131" t="s">
        <v>14</v>
      </c>
      <c r="I72" s="45"/>
      <c r="J72" s="45"/>
      <c r="K72" s="46"/>
      <c r="L72" s="132">
        <f t="shared" ref="L72:N72" ca="1" si="53">L73+L74</f>
        <v>795900</v>
      </c>
      <c r="M72" s="132">
        <f t="shared" ca="1" si="53"/>
        <v>795900</v>
      </c>
      <c r="N72" s="132">
        <f t="shared" ca="1" si="53"/>
        <v>637318.77</v>
      </c>
      <c r="O72" s="132">
        <f t="shared" ref="O72:O80" ca="1" si="54">IF(L72&gt;0,N72*100/L72,0)</f>
        <v>80.075231813041839</v>
      </c>
      <c r="P72" s="132">
        <f t="shared" ref="P72:P80" ca="1" si="55">IF(M72&gt;0,N72*100/M72,0)</f>
        <v>80.075231813041839</v>
      </c>
      <c r="Q72" s="132">
        <f t="shared" ref="Q72:S72" ca="1" si="56">Q73+Q74</f>
        <v>1525812</v>
      </c>
      <c r="R72" s="132">
        <f t="shared" ca="1" si="56"/>
        <v>1525812</v>
      </c>
      <c r="S72" s="132">
        <f t="shared" ca="1" si="56"/>
        <v>588582</v>
      </c>
      <c r="T72" s="132">
        <f t="shared" ref="T72:T80" ca="1" si="57">IF(Q72&gt;0,S72*100/Q72,0)</f>
        <v>38.575001376316351</v>
      </c>
      <c r="U72" s="132">
        <f t="shared" ref="U72:U80" ca="1" si="58">IF(R72&gt;0,S72*100/R72,0)</f>
        <v>38.575001376316351</v>
      </c>
    </row>
    <row r="73" spans="1:21" ht="18.75" hidden="1" x14ac:dyDescent="0.25">
      <c r="A73" s="128"/>
      <c r="B73" s="41"/>
      <c r="C73" s="41"/>
      <c r="D73" s="41"/>
      <c r="E73" s="48" t="s">
        <v>20</v>
      </c>
      <c r="F73" s="41"/>
      <c r="G73" s="43"/>
      <c r="H73" s="133" t="s">
        <v>14</v>
      </c>
      <c r="I73" s="45"/>
      <c r="J73" s="45"/>
      <c r="K73" s="46"/>
      <c r="L73" s="47">
        <f t="shared" ref="L73:N73" ca="1" si="59">L76+L79</f>
        <v>0</v>
      </c>
      <c r="M73" s="47">
        <f t="shared" ca="1" si="59"/>
        <v>0</v>
      </c>
      <c r="N73" s="47">
        <f t="shared" ca="1" si="59"/>
        <v>0</v>
      </c>
      <c r="O73" s="47">
        <f t="shared" ca="1" si="54"/>
        <v>0</v>
      </c>
      <c r="P73" s="47">
        <f t="shared" ca="1" si="55"/>
        <v>0</v>
      </c>
      <c r="Q73" s="47">
        <f t="shared" ref="Q73:S73" ca="1" si="60">Q76+Q79</f>
        <v>0</v>
      </c>
      <c r="R73" s="47">
        <f t="shared" ca="1" si="60"/>
        <v>0</v>
      </c>
      <c r="S73" s="47">
        <f t="shared" ca="1" si="60"/>
        <v>0</v>
      </c>
      <c r="T73" s="49">
        <f t="shared" ca="1" si="57"/>
        <v>0</v>
      </c>
      <c r="U73" s="49">
        <f t="shared" ca="1" si="58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7">
        <f t="shared" ref="L74:N74" ca="1" si="61">L77+L80</f>
        <v>795900</v>
      </c>
      <c r="M74" s="47">
        <f t="shared" ca="1" si="61"/>
        <v>795900</v>
      </c>
      <c r="N74" s="47">
        <f t="shared" ca="1" si="61"/>
        <v>637318.77</v>
      </c>
      <c r="O74" s="47">
        <f t="shared" ca="1" si="54"/>
        <v>80.075231813041839</v>
      </c>
      <c r="P74" s="47">
        <f t="shared" ca="1" si="55"/>
        <v>80.075231813041839</v>
      </c>
      <c r="Q74" s="47">
        <f t="shared" ref="Q74:S74" ca="1" si="62">Q77+Q80</f>
        <v>1525812</v>
      </c>
      <c r="R74" s="47">
        <f t="shared" ca="1" si="62"/>
        <v>1525812</v>
      </c>
      <c r="S74" s="47">
        <f t="shared" ca="1" si="62"/>
        <v>588582</v>
      </c>
      <c r="T74" s="47">
        <f t="shared" ca="1" si="57"/>
        <v>38.575001376316351</v>
      </c>
      <c r="U74" s="47">
        <f t="shared" ca="1" si="58"/>
        <v>38.575001376316351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7">
        <f t="shared" ref="L75:N75" ca="1" si="63">L76+L77</f>
        <v>795900</v>
      </c>
      <c r="M75" s="47">
        <f t="shared" ca="1" si="63"/>
        <v>795900</v>
      </c>
      <c r="N75" s="47">
        <f t="shared" ca="1" si="63"/>
        <v>637318.77</v>
      </c>
      <c r="O75" s="47">
        <f t="shared" ca="1" si="54"/>
        <v>80.075231813041839</v>
      </c>
      <c r="P75" s="47">
        <f t="shared" ca="1" si="55"/>
        <v>80.075231813041839</v>
      </c>
      <c r="Q75" s="47">
        <f t="shared" ref="Q75:S75" ca="1" si="64">Q76+Q77</f>
        <v>1525812</v>
      </c>
      <c r="R75" s="47">
        <f t="shared" ca="1" si="64"/>
        <v>1525812</v>
      </c>
      <c r="S75" s="47">
        <f t="shared" ca="1" si="64"/>
        <v>588582</v>
      </c>
      <c r="T75" s="47">
        <f t="shared" ca="1" si="57"/>
        <v>38.575001376316351</v>
      </c>
      <c r="U75" s="47">
        <f t="shared" ca="1" si="58"/>
        <v>38.575001376316351</v>
      </c>
    </row>
    <row r="76" spans="1:21" ht="18.75" hidden="1" x14ac:dyDescent="0.25">
      <c r="A76" s="128"/>
      <c r="B76" s="41"/>
      <c r="C76" s="41"/>
      <c r="D76" s="41"/>
      <c r="E76" s="48" t="s">
        <v>36</v>
      </c>
      <c r="F76" s="41"/>
      <c r="G76" s="43"/>
      <c r="H76" s="134" t="s">
        <v>14</v>
      </c>
      <c r="I76" s="135"/>
      <c r="J76" s="135"/>
      <c r="K76" s="136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54"/>
        <v>0</v>
      </c>
      <c r="P76" s="47">
        <f t="shared" ca="1" si="55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57"/>
        <v>0</v>
      </c>
      <c r="U76" s="49">
        <f t="shared" ca="1" si="58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795900)</f>
        <v>795900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795900)</f>
        <v>795900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637318.77)</f>
        <v>637318.77</v>
      </c>
      <c r="O77" s="47">
        <f t="shared" ca="1" si="54"/>
        <v>80.075231813041839</v>
      </c>
      <c r="P77" s="47">
        <f t="shared" ca="1" si="55"/>
        <v>80.075231813041839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588582)</f>
        <v>588582</v>
      </c>
      <c r="T77" s="47">
        <f t="shared" ca="1" si="57"/>
        <v>38.575001376316351</v>
      </c>
      <c r="U77" s="47">
        <f t="shared" ca="1" si="58"/>
        <v>38.575001376316351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7">
        <f t="shared" ref="L78:N78" ca="1" si="65">L79+L80</f>
        <v>0</v>
      </c>
      <c r="M78" s="47">
        <f t="shared" ca="1" si="65"/>
        <v>0</v>
      </c>
      <c r="N78" s="47">
        <f t="shared" ca="1" si="65"/>
        <v>0</v>
      </c>
      <c r="O78" s="47">
        <f t="shared" ca="1" si="54"/>
        <v>0</v>
      </c>
      <c r="P78" s="47">
        <f t="shared" ca="1" si="55"/>
        <v>0</v>
      </c>
      <c r="Q78" s="47">
        <f t="shared" ref="Q78:S78" ca="1" si="66">Q79+Q80</f>
        <v>0</v>
      </c>
      <c r="R78" s="47">
        <f t="shared" ca="1" si="66"/>
        <v>0</v>
      </c>
      <c r="S78" s="47">
        <f t="shared" ca="1" si="66"/>
        <v>0</v>
      </c>
      <c r="T78" s="47">
        <f t="shared" ca="1" si="57"/>
        <v>0</v>
      </c>
      <c r="U78" s="47">
        <f t="shared" ca="1" si="58"/>
        <v>0</v>
      </c>
    </row>
    <row r="79" spans="1:21" ht="18.75" hidden="1" x14ac:dyDescent="0.25">
      <c r="A79" s="128"/>
      <c r="B79" s="41"/>
      <c r="C79" s="41"/>
      <c r="D79" s="41"/>
      <c r="E79" s="48" t="s">
        <v>20</v>
      </c>
      <c r="F79" s="41"/>
      <c r="G79" s="43"/>
      <c r="H79" s="134" t="s">
        <v>14</v>
      </c>
      <c r="I79" s="135"/>
      <c r="J79" s="135"/>
      <c r="K79" s="136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54"/>
        <v>0</v>
      </c>
      <c r="P79" s="47">
        <f t="shared" ca="1" si="55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57"/>
        <v>0</v>
      </c>
      <c r="U79" s="49">
        <f t="shared" ca="1" si="58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57"/>
        <v>0</v>
      </c>
      <c r="U80" s="47">
        <f t="shared" ca="1" si="58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4</v>
      </c>
      <c r="J82" s="147">
        <f t="shared" ca="1" si="67"/>
        <v>3</v>
      </c>
      <c r="K82" s="148">
        <f t="shared" ref="K82:K90" ca="1" si="68">IF(I82&gt;0,J82*100/I82,0)</f>
        <v>75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121</v>
      </c>
      <c r="J83" s="147">
        <f t="shared" ca="1" si="69"/>
        <v>91</v>
      </c>
      <c r="K83" s="148">
        <f t="shared" ca="1" si="68"/>
        <v>75.206611570247929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1)</f>
        <v>1</v>
      </c>
      <c r="K84" s="153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31)</f>
        <v>31</v>
      </c>
      <c r="K85" s="153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2)</f>
        <v>2</v>
      </c>
      <c r="K86" s="153">
        <f t="shared" ca="1" si="68"/>
        <v>100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60)</f>
        <v>60</v>
      </c>
      <c r="K87" s="153">
        <f t="shared" ca="1" si="68"/>
        <v>100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5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56" t="s">
        <v>46</v>
      </c>
      <c r="I92" s="127">
        <f t="shared" ref="I92:J92" ca="1" si="70">I108</f>
        <v>297</v>
      </c>
      <c r="J92" s="127">
        <f t="shared" ca="1" si="70"/>
        <v>237</v>
      </c>
      <c r="K92" s="35">
        <f t="shared" ref="K92:K93" ca="1" si="71">IF(I92&gt;0,J92*100/I92,0)</f>
        <v>79.797979797979792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56" t="s">
        <v>35</v>
      </c>
      <c r="I93" s="127">
        <f t="shared" ref="I93:J93" ca="1" si="72">I109</f>
        <v>99</v>
      </c>
      <c r="J93" s="127">
        <f t="shared" ca="1" si="72"/>
        <v>79</v>
      </c>
      <c r="K93" s="35">
        <f t="shared" ca="1" si="71"/>
        <v>79.797979797979792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130" t="s">
        <v>19</v>
      </c>
      <c r="E94" s="41"/>
      <c r="F94" s="41"/>
      <c r="G94" s="43"/>
      <c r="H94" s="131" t="s">
        <v>14</v>
      </c>
      <c r="I94" s="45"/>
      <c r="J94" s="45"/>
      <c r="K94" s="46"/>
      <c r="L94" s="132">
        <f t="shared" ref="L94:N94" ca="1" si="73">L95+L96</f>
        <v>59400</v>
      </c>
      <c r="M94" s="132">
        <f t="shared" ca="1" si="73"/>
        <v>59400</v>
      </c>
      <c r="N94" s="132">
        <f t="shared" ca="1" si="73"/>
        <v>29400</v>
      </c>
      <c r="O94" s="132">
        <f t="shared" ref="O94:O102" ca="1" si="74">IF(L94&gt;0,N94*100/L94,0)</f>
        <v>49.494949494949495</v>
      </c>
      <c r="P94" s="132">
        <f t="shared" ref="P94:P102" ca="1" si="75">IF(M94&gt;0,N94*100/M94,0)</f>
        <v>49.494949494949495</v>
      </c>
      <c r="Q94" s="132">
        <f t="shared" ref="Q94:S94" ca="1" si="76">Q95+Q96</f>
        <v>835758</v>
      </c>
      <c r="R94" s="132">
        <f t="shared" ca="1" si="76"/>
        <v>835758</v>
      </c>
      <c r="S94" s="132">
        <f t="shared" ca="1" si="76"/>
        <v>390750</v>
      </c>
      <c r="T94" s="132">
        <f t="shared" ref="T94:T102" ca="1" si="77">IF(Q94&gt;0,S94*100/Q94,0)</f>
        <v>46.753964664412429</v>
      </c>
      <c r="U94" s="132">
        <f t="shared" ref="U94:U102" ca="1" si="78">IF(R94&gt;0,S94*100/R94,0)</f>
        <v>46.753964664412429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">
        <f t="shared" ref="L95:N95" ca="1" si="79">L98+L101</f>
        <v>0</v>
      </c>
      <c r="M95" s="49">
        <f t="shared" ca="1" si="79"/>
        <v>0</v>
      </c>
      <c r="N95" s="49">
        <f t="shared" ca="1" si="79"/>
        <v>0</v>
      </c>
      <c r="O95" s="49">
        <f t="shared" ca="1" si="74"/>
        <v>0</v>
      </c>
      <c r="P95" s="49">
        <f t="shared" ca="1" si="75"/>
        <v>0</v>
      </c>
      <c r="Q95" s="49">
        <f t="shared" ref="Q95:S95" ca="1" si="80">Q98+Q101</f>
        <v>0</v>
      </c>
      <c r="R95" s="49">
        <f t="shared" ca="1" si="80"/>
        <v>0</v>
      </c>
      <c r="S95" s="49">
        <f t="shared" ca="1" si="80"/>
        <v>0</v>
      </c>
      <c r="T95" s="49">
        <f t="shared" ca="1" si="77"/>
        <v>0</v>
      </c>
      <c r="U95" s="49">
        <f t="shared" ca="1" si="78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7">
        <f t="shared" ref="L96:N96" ca="1" si="81">L99+L102</f>
        <v>59400</v>
      </c>
      <c r="M96" s="47">
        <f t="shared" ca="1" si="81"/>
        <v>59400</v>
      </c>
      <c r="N96" s="47">
        <f t="shared" ca="1" si="81"/>
        <v>29400</v>
      </c>
      <c r="O96" s="47">
        <f t="shared" ca="1" si="74"/>
        <v>49.494949494949495</v>
      </c>
      <c r="P96" s="47">
        <f t="shared" ca="1" si="75"/>
        <v>49.494949494949495</v>
      </c>
      <c r="Q96" s="47">
        <f t="shared" ref="Q96:S96" ca="1" si="82">Q99+Q102</f>
        <v>835758</v>
      </c>
      <c r="R96" s="47">
        <f t="shared" ca="1" si="82"/>
        <v>835758</v>
      </c>
      <c r="S96" s="47">
        <f t="shared" ca="1" si="82"/>
        <v>390750</v>
      </c>
      <c r="T96" s="47">
        <f t="shared" ca="1" si="77"/>
        <v>46.753964664412429</v>
      </c>
      <c r="U96" s="47">
        <f t="shared" ca="1" si="78"/>
        <v>46.753964664412429</v>
      </c>
    </row>
    <row r="97" spans="1:21" ht="18.75" x14ac:dyDescent="0.25">
      <c r="A97" s="128"/>
      <c r="B97" s="159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7">
        <f t="shared" ref="L97:N97" ca="1" si="83">L98+L99</f>
        <v>59400</v>
      </c>
      <c r="M97" s="47">
        <f t="shared" ca="1" si="83"/>
        <v>59400</v>
      </c>
      <c r="N97" s="47">
        <f t="shared" ca="1" si="83"/>
        <v>29400</v>
      </c>
      <c r="O97" s="47">
        <f t="shared" ca="1" si="74"/>
        <v>49.494949494949495</v>
      </c>
      <c r="P97" s="47">
        <f t="shared" ca="1" si="75"/>
        <v>49.494949494949495</v>
      </c>
      <c r="Q97" s="47">
        <f t="shared" ref="Q97:S97" ca="1" si="84">Q98+Q99</f>
        <v>835758</v>
      </c>
      <c r="R97" s="47">
        <f t="shared" ca="1" si="84"/>
        <v>835758</v>
      </c>
      <c r="S97" s="47">
        <f t="shared" ca="1" si="84"/>
        <v>390750</v>
      </c>
      <c r="T97" s="47">
        <f t="shared" ca="1" si="77"/>
        <v>46.753964664412429</v>
      </c>
      <c r="U97" s="47">
        <f t="shared" ca="1" si="78"/>
        <v>46.753964664412429</v>
      </c>
    </row>
    <row r="98" spans="1:21" ht="18.75" hidden="1" x14ac:dyDescent="0.25">
      <c r="A98" s="128"/>
      <c r="B98" s="159"/>
      <c r="C98" s="159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74"/>
        <v>0</v>
      </c>
      <c r="P98" s="49">
        <f t="shared" ca="1" si="75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77"/>
        <v>0</v>
      </c>
      <c r="U98" s="49">
        <f t="shared" ca="1" si="78"/>
        <v>0</v>
      </c>
    </row>
    <row r="99" spans="1:21" ht="18.75" hidden="1" x14ac:dyDescent="0.25">
      <c r="A99" s="128"/>
      <c r="B99" s="159"/>
      <c r="C99" s="159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59400)</f>
        <v>59400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59400)</f>
        <v>59400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29400)</f>
        <v>29400</v>
      </c>
      <c r="O99" s="47">
        <f t="shared" ca="1" si="74"/>
        <v>49.494949494949495</v>
      </c>
      <c r="P99" s="47">
        <f t="shared" ca="1" si="75"/>
        <v>49.494949494949495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390750)</f>
        <v>390750</v>
      </c>
      <c r="T99" s="47">
        <f t="shared" ca="1" si="77"/>
        <v>46.753964664412429</v>
      </c>
      <c r="U99" s="47">
        <f t="shared" ca="1" si="78"/>
        <v>46.753964664412429</v>
      </c>
    </row>
    <row r="100" spans="1:21" ht="18.75" x14ac:dyDescent="0.25">
      <c r="A100" s="128"/>
      <c r="B100" s="159"/>
      <c r="C100" s="159"/>
      <c r="D100" s="161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7">
        <f t="shared" ref="L100:N100" ca="1" si="85">L101+L102</f>
        <v>0</v>
      </c>
      <c r="M100" s="47">
        <f t="shared" ca="1" si="85"/>
        <v>0</v>
      </c>
      <c r="N100" s="47">
        <f t="shared" ca="1" si="85"/>
        <v>0</v>
      </c>
      <c r="O100" s="47">
        <f t="shared" ca="1" si="74"/>
        <v>0</v>
      </c>
      <c r="P100" s="47">
        <f t="shared" ca="1" si="75"/>
        <v>0</v>
      </c>
      <c r="Q100" s="47">
        <f t="shared" ref="Q100:S100" ca="1" si="86">Q101+Q102</f>
        <v>0</v>
      </c>
      <c r="R100" s="47">
        <f t="shared" ca="1" si="86"/>
        <v>0</v>
      </c>
      <c r="S100" s="47">
        <f t="shared" ca="1" si="86"/>
        <v>0</v>
      </c>
      <c r="T100" s="47">
        <f t="shared" ca="1" si="77"/>
        <v>0</v>
      </c>
      <c r="U100" s="47">
        <f t="shared" ca="1" si="78"/>
        <v>0</v>
      </c>
    </row>
    <row r="101" spans="1:21" ht="18.75" hidden="1" x14ac:dyDescent="0.25">
      <c r="A101" s="128"/>
      <c r="B101" s="159"/>
      <c r="C101" s="159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74"/>
        <v>0</v>
      </c>
      <c r="P101" s="49">
        <f t="shared" ca="1" si="75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77"/>
        <v>0</v>
      </c>
      <c r="U101" s="49">
        <f t="shared" ca="1" si="78"/>
        <v>0</v>
      </c>
    </row>
    <row r="102" spans="1:21" ht="18.75" hidden="1" x14ac:dyDescent="0.25">
      <c r="A102" s="128"/>
      <c r="B102" s="159"/>
      <c r="C102" s="159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77"/>
        <v>0</v>
      </c>
      <c r="U102" s="47">
        <f t="shared" ca="1" si="78"/>
        <v>0</v>
      </c>
    </row>
    <row r="103" spans="1:21" ht="19.5" x14ac:dyDescent="0.3">
      <c r="A103" s="138"/>
      <c r="B103" s="139"/>
      <c r="C103" s="162" t="s">
        <v>18</v>
      </c>
      <c r="D103" s="140" t="s">
        <v>38</v>
      </c>
      <c r="E103" s="141"/>
      <c r="F103" s="141"/>
      <c r="G103" s="142"/>
      <c r="H103" s="143"/>
      <c r="I103" s="135"/>
      <c r="J103" s="45"/>
      <c r="K103" s="46"/>
      <c r="L103" s="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237)</f>
        <v>237</v>
      </c>
      <c r="K108" s="47">
        <f t="shared" ref="K108:K109" ca="1" si="87">IF(I108&gt;0,J108*100/I108,0)</f>
        <v>79.797979797979792</v>
      </c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79)</f>
        <v>79</v>
      </c>
      <c r="K109" s="47">
        <f t="shared" ca="1" si="87"/>
        <v>79.797979797979792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64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170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5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120)</f>
        <v>120</v>
      </c>
      <c r="K113" s="176">
        <f t="shared" ref="K113:K114" ca="1" si="88">IF(I113&gt;0,J113*100/I113,0)</f>
        <v>40.404040404040401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40)</f>
        <v>40</v>
      </c>
      <c r="K114" s="47">
        <f t="shared" ca="1" si="88"/>
        <v>40.404040404040401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118" t="s">
        <v>51</v>
      </c>
      <c r="B115" s="120"/>
      <c r="C115" s="179"/>
      <c r="D115" s="119"/>
      <c r="E115" s="119"/>
      <c r="F115" s="119"/>
      <c r="G115" s="119"/>
      <c r="H115" s="120"/>
      <c r="I115" s="180"/>
      <c r="J115" s="180"/>
      <c r="K115" s="181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t="shared" ref="I116:J116" ca="1" si="89">I127</f>
        <v>255</v>
      </c>
      <c r="J116" s="127">
        <f t="shared" ca="1" si="89"/>
        <v>225</v>
      </c>
      <c r="K116" s="35">
        <f ca="1">IF(I116&gt;0,J116*100/I116,0)</f>
        <v>88.235294117647058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13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132">
        <f t="shared" ref="L117:N117" ca="1" si="90">L118+L119</f>
        <v>351900</v>
      </c>
      <c r="M117" s="132">
        <f t="shared" ca="1" si="90"/>
        <v>351900</v>
      </c>
      <c r="N117" s="132">
        <f t="shared" ca="1" si="90"/>
        <v>295000</v>
      </c>
      <c r="O117" s="132">
        <f t="shared" ref="O117:O125" ca="1" si="91">IF(L117&gt;0,N117*100/L117,0)</f>
        <v>83.830633702756458</v>
      </c>
      <c r="P117" s="132">
        <f t="shared" ref="P117:P125" ca="1" si="92">IF(M117&gt;0,N117*100/M117,0)</f>
        <v>83.830633702756458</v>
      </c>
      <c r="Q117" s="132">
        <f t="shared" ref="Q117:S117" ca="1" si="93">Q118+Q119</f>
        <v>6161560</v>
      </c>
      <c r="R117" s="132">
        <f t="shared" ca="1" si="93"/>
        <v>6161560</v>
      </c>
      <c r="S117" s="132">
        <f t="shared" ca="1" si="93"/>
        <v>1872612.2</v>
      </c>
      <c r="T117" s="132">
        <f t="shared" ref="T117:T125" ca="1" si="94">IF(Q117&gt;0,S117*100/Q117,0)</f>
        <v>30.391852063438481</v>
      </c>
      <c r="U117" s="132">
        <f t="shared" ref="U117:U125" ca="1" si="95">IF(R117&gt;0,S117*100/R117,0)</f>
        <v>30.391852063438481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">
        <f t="shared" ref="L118:N118" ca="1" si="96">L121+L124</f>
        <v>0</v>
      </c>
      <c r="M118" s="49">
        <f t="shared" ca="1" si="96"/>
        <v>0</v>
      </c>
      <c r="N118" s="49">
        <f t="shared" ca="1" si="96"/>
        <v>0</v>
      </c>
      <c r="O118" s="49">
        <f t="shared" ca="1" si="91"/>
        <v>0</v>
      </c>
      <c r="P118" s="49">
        <f t="shared" ca="1" si="92"/>
        <v>0</v>
      </c>
      <c r="Q118" s="49">
        <f t="shared" ref="Q118:S118" ca="1" si="97">Q121+Q124</f>
        <v>0</v>
      </c>
      <c r="R118" s="49">
        <f t="shared" ca="1" si="97"/>
        <v>0</v>
      </c>
      <c r="S118" s="49">
        <f t="shared" ca="1" si="97"/>
        <v>0</v>
      </c>
      <c r="T118" s="49">
        <f t="shared" ca="1" si="94"/>
        <v>0</v>
      </c>
      <c r="U118" s="49">
        <f t="shared" ca="1" si="95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7">
        <f t="shared" ref="L119:N119" ca="1" si="98">L122+L125</f>
        <v>351900</v>
      </c>
      <c r="M119" s="47">
        <f t="shared" ca="1" si="98"/>
        <v>351900</v>
      </c>
      <c r="N119" s="47">
        <f t="shared" ca="1" si="98"/>
        <v>295000</v>
      </c>
      <c r="O119" s="47">
        <f t="shared" ca="1" si="91"/>
        <v>83.830633702756458</v>
      </c>
      <c r="P119" s="47">
        <f t="shared" ca="1" si="92"/>
        <v>83.830633702756458</v>
      </c>
      <c r="Q119" s="47">
        <f t="shared" ref="Q119:S119" ca="1" si="99">Q122+Q125</f>
        <v>6161560</v>
      </c>
      <c r="R119" s="47">
        <f t="shared" ca="1" si="99"/>
        <v>6161560</v>
      </c>
      <c r="S119" s="47">
        <f t="shared" ca="1" si="99"/>
        <v>1872612.2</v>
      </c>
      <c r="T119" s="47">
        <f t="shared" ca="1" si="94"/>
        <v>30.391852063438481</v>
      </c>
      <c r="U119" s="47">
        <f t="shared" ca="1" si="95"/>
        <v>30.391852063438481</v>
      </c>
    </row>
    <row r="120" spans="1:21" ht="18.75" x14ac:dyDescent="0.25">
      <c r="A120" s="128"/>
      <c r="B120" s="159"/>
      <c r="C120" s="185"/>
      <c r="D120" s="16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7">
        <f t="shared" ref="L120:N120" ca="1" si="100">L121+L122</f>
        <v>0</v>
      </c>
      <c r="M120" s="47">
        <f t="shared" ca="1" si="100"/>
        <v>0</v>
      </c>
      <c r="N120" s="47">
        <f t="shared" ca="1" si="100"/>
        <v>0</v>
      </c>
      <c r="O120" s="47">
        <f t="shared" ca="1" si="91"/>
        <v>0</v>
      </c>
      <c r="P120" s="47">
        <f t="shared" ca="1" si="92"/>
        <v>0</v>
      </c>
      <c r="Q120" s="47">
        <f t="shared" ref="Q120:S120" ca="1" si="101">Q121+Q122</f>
        <v>2811560</v>
      </c>
      <c r="R120" s="47">
        <f t="shared" ca="1" si="101"/>
        <v>2811560</v>
      </c>
      <c r="S120" s="47">
        <f t="shared" ca="1" si="101"/>
        <v>1872612.2</v>
      </c>
      <c r="T120" s="47">
        <f t="shared" ca="1" si="94"/>
        <v>66.604027657243662</v>
      </c>
      <c r="U120" s="47">
        <f t="shared" ca="1" si="95"/>
        <v>66.604027657243662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91"/>
        <v>0</v>
      </c>
      <c r="P121" s="49">
        <f t="shared" ca="1" si="92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94"/>
        <v>0</v>
      </c>
      <c r="U121" s="49">
        <f t="shared" ca="1" si="95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2811560)</f>
        <v>2811560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2811560)</f>
        <v>2811560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1872612.2)</f>
        <v>1872612.2</v>
      </c>
      <c r="T122" s="47">
        <f t="shared" ca="1" si="94"/>
        <v>66.604027657243662</v>
      </c>
      <c r="U122" s="47">
        <f t="shared" ca="1" si="95"/>
        <v>66.604027657243662</v>
      </c>
    </row>
    <row r="123" spans="1:21" ht="18.75" x14ac:dyDescent="0.25">
      <c r="A123" s="128"/>
      <c r="B123" s="41"/>
      <c r="C123" s="185"/>
      <c r="D123" s="16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7">
        <f t="shared" ref="L123:N123" ca="1" si="102">L124+L125</f>
        <v>351900</v>
      </c>
      <c r="M123" s="47">
        <f t="shared" ca="1" si="102"/>
        <v>351900</v>
      </c>
      <c r="N123" s="47">
        <f t="shared" ca="1" si="102"/>
        <v>295000</v>
      </c>
      <c r="O123" s="47">
        <f t="shared" ca="1" si="91"/>
        <v>83.830633702756458</v>
      </c>
      <c r="P123" s="47">
        <f t="shared" ca="1" si="92"/>
        <v>83.830633702756458</v>
      </c>
      <c r="Q123" s="47">
        <f t="shared" ref="Q123:S123" ca="1" si="103">Q124+Q125</f>
        <v>3350000</v>
      </c>
      <c r="R123" s="47">
        <f t="shared" ca="1" si="103"/>
        <v>3350000</v>
      </c>
      <c r="S123" s="47">
        <f t="shared" ca="1" si="103"/>
        <v>0</v>
      </c>
      <c r="T123" s="47">
        <f t="shared" ca="1" si="94"/>
        <v>0</v>
      </c>
      <c r="U123" s="47">
        <f t="shared" ca="1" si="95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91"/>
        <v>0</v>
      </c>
      <c r="P124" s="49">
        <f t="shared" ca="1" si="92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94"/>
        <v>0</v>
      </c>
      <c r="U124" s="49">
        <f t="shared" ca="1" si="95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351900)</f>
        <v>351900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351900)</f>
        <v>351900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295000)</f>
        <v>295000</v>
      </c>
      <c r="O125" s="47">
        <f t="shared" ca="1" si="91"/>
        <v>83.830633702756458</v>
      </c>
      <c r="P125" s="47">
        <f t="shared" ca="1" si="92"/>
        <v>83.830633702756458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3350000)</f>
        <v>3350000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3350000)</f>
        <v>3350000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94"/>
        <v>0</v>
      </c>
      <c r="U125" s="47">
        <f t="shared" ca="1" si="95"/>
        <v>0</v>
      </c>
    </row>
    <row r="126" spans="1:21" ht="19.5" x14ac:dyDescent="0.3">
      <c r="A126" s="138"/>
      <c r="B126" s="139"/>
      <c r="C126" s="188" t="s">
        <v>18</v>
      </c>
      <c r="D126" s="140" t="s">
        <v>38</v>
      </c>
      <c r="E126" s="141"/>
      <c r="F126" s="141"/>
      <c r="G126" s="142"/>
      <c r="H126" s="189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225)</f>
        <v>225</v>
      </c>
      <c r="K127" s="47">
        <f t="shared" ref="K127:K130" ca="1" si="104">IF(I127&gt;0,J127*100/I127,0)</f>
        <v>88.235294117647058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16)</f>
        <v>16</v>
      </c>
      <c r="J128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4)</f>
        <v>4</v>
      </c>
      <c r="K128" s="47">
        <f t="shared" ca="1" si="104"/>
        <v>25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195)</f>
        <v>195</v>
      </c>
      <c r="K129" s="47">
        <f t="shared" ca="1" si="104"/>
        <v>86.666666666666671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15)</f>
        <v>15</v>
      </c>
      <c r="J130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4)</f>
        <v>4</v>
      </c>
      <c r="K130" s="47">
        <f t="shared" ca="1" si="104"/>
        <v>26.666666666666668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t="shared" ref="I136:J136" ca="1" si="105">I154</f>
        <v>5</v>
      </c>
      <c r="J136" s="127">
        <f t="shared" ca="1" si="105"/>
        <v>0</v>
      </c>
      <c r="K136" s="35">
        <f t="shared" ref="K136:K138" ca="1" si="106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t="shared" ref="I137:J137" ca="1" si="107">I152</f>
        <v>200</v>
      </c>
      <c r="J137" s="127">
        <f t="shared" ca="1" si="107"/>
        <v>100</v>
      </c>
      <c r="K137" s="35">
        <f t="shared" ca="1" si="106"/>
        <v>50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t="shared" ref="I138:J138" ca="1" si="108">I153</f>
        <v>20</v>
      </c>
      <c r="J138" s="127">
        <f t="shared" ca="1" si="108"/>
        <v>10</v>
      </c>
      <c r="K138" s="35">
        <f t="shared" ca="1" si="106"/>
        <v>50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13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132">
        <f t="shared" ref="L139:N139" ca="1" si="109">L140+L141</f>
        <v>597100</v>
      </c>
      <c r="M139" s="132">
        <f t="shared" ca="1" si="109"/>
        <v>562100</v>
      </c>
      <c r="N139" s="132">
        <f t="shared" ca="1" si="109"/>
        <v>454821.49</v>
      </c>
      <c r="O139" s="132">
        <f t="shared" ref="O139:O147" ca="1" si="110">IF(L139&gt;0,N139*100/L139,0)</f>
        <v>76.171745101323054</v>
      </c>
      <c r="P139" s="132">
        <f t="shared" ref="P139:P147" ca="1" si="111">IF(M139&gt;0,N139*100/M139,0)</f>
        <v>80.914693115104072</v>
      </c>
      <c r="Q139" s="132">
        <f t="shared" ref="Q139:S139" ca="1" si="112">Q140+Q141</f>
        <v>959020</v>
      </c>
      <c r="R139" s="132">
        <f t="shared" ca="1" si="112"/>
        <v>959020</v>
      </c>
      <c r="S139" s="132">
        <f t="shared" ca="1" si="112"/>
        <v>124090</v>
      </c>
      <c r="T139" s="132">
        <f t="shared" ref="T139:T147" ca="1" si="113">IF(Q139&gt;0,S139*100/Q139,0)</f>
        <v>12.939250484869971</v>
      </c>
      <c r="U139" s="132">
        <f t="shared" ref="U139:U147" ca="1" si="114">IF(R139&gt;0,S139*100/R139,0)</f>
        <v>12.939250484869971</v>
      </c>
    </row>
    <row r="140" spans="1:21" ht="18.75" hidden="1" x14ac:dyDescent="0.25">
      <c r="A140" s="128"/>
      <c r="B140" s="41"/>
      <c r="C140" s="41"/>
      <c r="D140" s="41"/>
      <c r="E140" s="48" t="s">
        <v>20</v>
      </c>
      <c r="F140" s="41"/>
      <c r="G140" s="43"/>
      <c r="H140" s="133" t="s">
        <v>14</v>
      </c>
      <c r="I140" s="45"/>
      <c r="J140" s="45"/>
      <c r="K140" s="46"/>
      <c r="L140" s="47">
        <f t="shared" ref="L140:N140" ca="1" si="115">L143+L146</f>
        <v>0</v>
      </c>
      <c r="M140" s="47">
        <f t="shared" ca="1" si="115"/>
        <v>0</v>
      </c>
      <c r="N140" s="47">
        <f t="shared" ca="1" si="115"/>
        <v>0</v>
      </c>
      <c r="O140" s="47">
        <f t="shared" ca="1" si="110"/>
        <v>0</v>
      </c>
      <c r="P140" s="47">
        <f t="shared" ca="1" si="111"/>
        <v>0</v>
      </c>
      <c r="Q140" s="47">
        <f t="shared" ref="Q140:S140" ca="1" si="116">Q143+Q146</f>
        <v>0</v>
      </c>
      <c r="R140" s="47">
        <f t="shared" ca="1" si="116"/>
        <v>0</v>
      </c>
      <c r="S140" s="47">
        <f t="shared" ca="1" si="116"/>
        <v>0</v>
      </c>
      <c r="T140" s="49">
        <f t="shared" ca="1" si="113"/>
        <v>0</v>
      </c>
      <c r="U140" s="49">
        <f t="shared" ca="1" si="11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7">
        <f t="shared" ref="L141:N141" ca="1" si="117">L144+L147</f>
        <v>597100</v>
      </c>
      <c r="M141" s="47">
        <f t="shared" ca="1" si="117"/>
        <v>562100</v>
      </c>
      <c r="N141" s="47">
        <f t="shared" ca="1" si="117"/>
        <v>454821.49</v>
      </c>
      <c r="O141" s="47">
        <f t="shared" ca="1" si="110"/>
        <v>76.171745101323054</v>
      </c>
      <c r="P141" s="47">
        <f t="shared" ca="1" si="111"/>
        <v>80.914693115104072</v>
      </c>
      <c r="Q141" s="47">
        <f t="shared" ref="Q141:S141" ca="1" si="118">Q144+Q147</f>
        <v>959020</v>
      </c>
      <c r="R141" s="47">
        <f t="shared" ca="1" si="118"/>
        <v>959020</v>
      </c>
      <c r="S141" s="47">
        <f t="shared" ca="1" si="118"/>
        <v>124090</v>
      </c>
      <c r="T141" s="47">
        <f t="shared" ca="1" si="113"/>
        <v>12.939250484869971</v>
      </c>
      <c r="U141" s="47">
        <f t="shared" ca="1" si="114"/>
        <v>12.939250484869971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7">
        <f t="shared" ref="L142:N142" ca="1" si="119">L143+L144</f>
        <v>597100</v>
      </c>
      <c r="M142" s="47">
        <f t="shared" ca="1" si="119"/>
        <v>562100</v>
      </c>
      <c r="N142" s="47">
        <f t="shared" ca="1" si="119"/>
        <v>454821.49</v>
      </c>
      <c r="O142" s="47">
        <f t="shared" ca="1" si="110"/>
        <v>76.171745101323054</v>
      </c>
      <c r="P142" s="47">
        <f t="shared" ca="1" si="111"/>
        <v>80.914693115104072</v>
      </c>
      <c r="Q142" s="47">
        <f t="shared" ref="Q142:S142" ca="1" si="120">Q143+Q144</f>
        <v>309020</v>
      </c>
      <c r="R142" s="47">
        <f t="shared" ca="1" si="120"/>
        <v>309020</v>
      </c>
      <c r="S142" s="47">
        <f t="shared" ca="1" si="120"/>
        <v>124090</v>
      </c>
      <c r="T142" s="47">
        <f t="shared" ca="1" si="113"/>
        <v>40.155976959420101</v>
      </c>
      <c r="U142" s="47">
        <f t="shared" ca="1" si="114"/>
        <v>40.155976959420101</v>
      </c>
    </row>
    <row r="143" spans="1:21" ht="18.75" hidden="1" x14ac:dyDescent="0.25">
      <c r="A143" s="128"/>
      <c r="B143" s="41"/>
      <c r="C143" s="41"/>
      <c r="D143" s="41"/>
      <c r="E143" s="48" t="s">
        <v>36</v>
      </c>
      <c r="F143" s="41"/>
      <c r="G143" s="43"/>
      <c r="H143" s="134" t="s">
        <v>14</v>
      </c>
      <c r="I143" s="135"/>
      <c r="J143" s="135"/>
      <c r="K143" s="136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110"/>
        <v>0</v>
      </c>
      <c r="P143" s="47">
        <f t="shared" ca="1" si="111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113"/>
        <v>0</v>
      </c>
      <c r="U143" s="49">
        <f t="shared" ca="1" si="11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454821.49)</f>
        <v>454821.49</v>
      </c>
      <c r="O144" s="47">
        <f t="shared" ca="1" si="110"/>
        <v>76.171745101323054</v>
      </c>
      <c r="P144" s="47">
        <f t="shared" ca="1" si="111"/>
        <v>80.914693115104072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309020)</f>
        <v>309020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309020)</f>
        <v>309020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124090)</f>
        <v>124090</v>
      </c>
      <c r="T144" s="47">
        <f t="shared" ca="1" si="113"/>
        <v>40.155976959420101</v>
      </c>
      <c r="U144" s="47">
        <f t="shared" ca="1" si="114"/>
        <v>40.155976959420101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7">
        <f t="shared" ref="L145:N145" ca="1" si="121">L146+L147</f>
        <v>0</v>
      </c>
      <c r="M145" s="47">
        <f t="shared" ca="1" si="121"/>
        <v>0</v>
      </c>
      <c r="N145" s="47">
        <f t="shared" ca="1" si="121"/>
        <v>0</v>
      </c>
      <c r="O145" s="47">
        <f t="shared" ca="1" si="110"/>
        <v>0</v>
      </c>
      <c r="P145" s="47">
        <f t="shared" ca="1" si="111"/>
        <v>0</v>
      </c>
      <c r="Q145" s="47">
        <f t="shared" ref="Q145:S145" ca="1" si="122">Q146+Q147</f>
        <v>650000</v>
      </c>
      <c r="R145" s="47">
        <f t="shared" ca="1" si="122"/>
        <v>650000</v>
      </c>
      <c r="S145" s="47">
        <f t="shared" ca="1" si="122"/>
        <v>0</v>
      </c>
      <c r="T145" s="47">
        <f t="shared" ca="1" si="113"/>
        <v>0</v>
      </c>
      <c r="U145" s="47">
        <f t="shared" ca="1" si="114"/>
        <v>0</v>
      </c>
    </row>
    <row r="146" spans="1:21" ht="18.75" hidden="1" x14ac:dyDescent="0.25">
      <c r="A146" s="128"/>
      <c r="B146" s="41"/>
      <c r="C146" s="41"/>
      <c r="D146" s="41"/>
      <c r="E146" s="48" t="s">
        <v>20</v>
      </c>
      <c r="F146" s="41"/>
      <c r="G146" s="43"/>
      <c r="H146" s="134" t="s">
        <v>14</v>
      </c>
      <c r="I146" s="135"/>
      <c r="J146" s="135"/>
      <c r="K146" s="136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110"/>
        <v>0</v>
      </c>
      <c r="P146" s="47">
        <f t="shared" ca="1" si="111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113"/>
        <v>0</v>
      </c>
      <c r="U146" s="49">
        <f t="shared" ca="1" si="11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110"/>
        <v>0</v>
      </c>
      <c r="P147" s="47">
        <f t="shared" ca="1" si="111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650000)</f>
        <v>650000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650000)</f>
        <v>650000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113"/>
        <v>0</v>
      </c>
      <c r="U147" s="47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89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30)</f>
        <v>30</v>
      </c>
      <c r="K150" s="47">
        <f t="shared" ref="K150:K154" ca="1" si="123">IF(I150&gt;0,J150*100/I150,0)</f>
        <v>60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3)</f>
        <v>3</v>
      </c>
      <c r="K151" s="47">
        <f t="shared" ca="1" si="123"/>
        <v>60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100)</f>
        <v>100</v>
      </c>
      <c r="K152" s="47">
        <f t="shared" ca="1" si="123"/>
        <v>50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10)</f>
        <v>10</v>
      </c>
      <c r="K153" s="47">
        <f t="shared" ca="1" si="123"/>
        <v>50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t="shared" ca="1" si="123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30</v>
      </c>
      <c r="J156" s="127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13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132">
        <f t="shared" ref="L157:N157" ca="1" si="124">L158+L159</f>
        <v>9000</v>
      </c>
      <c r="M157" s="132">
        <f t="shared" ca="1" si="124"/>
        <v>13920</v>
      </c>
      <c r="N157" s="132">
        <f t="shared" ca="1" si="124"/>
        <v>10075.41</v>
      </c>
      <c r="O157" s="132">
        <f t="shared" ref="O157:O165" ca="1" si="125">IF(L157&gt;0,N157*100/L157,0)</f>
        <v>111.949</v>
      </c>
      <c r="P157" s="132">
        <f t="shared" ref="P157:P165" ca="1" si="126">IF(M157&gt;0,N157*100/M157,0)</f>
        <v>72.380818965517236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48" t="s">
        <v>20</v>
      </c>
      <c r="F158" s="41"/>
      <c r="G158" s="43"/>
      <c r="H158" s="133" t="s">
        <v>14</v>
      </c>
      <c r="I158" s="45"/>
      <c r="J158" s="45"/>
      <c r="K158" s="46"/>
      <c r="L158" s="47">
        <f t="shared" ref="L158:N158" ca="1" si="130">L161+L164</f>
        <v>0</v>
      </c>
      <c r="M158" s="47">
        <f t="shared" ca="1" si="130"/>
        <v>0</v>
      </c>
      <c r="N158" s="47">
        <f t="shared" ca="1" si="130"/>
        <v>0</v>
      </c>
      <c r="O158" s="47">
        <f t="shared" ca="1" si="125"/>
        <v>0</v>
      </c>
      <c r="P158" s="47">
        <f t="shared" ca="1" si="126"/>
        <v>0</v>
      </c>
      <c r="Q158" s="47">
        <f t="shared" ref="Q158:S158" ca="1" si="131">Q161+Q164</f>
        <v>0</v>
      </c>
      <c r="R158" s="47">
        <f t="shared" ca="1" si="131"/>
        <v>0</v>
      </c>
      <c r="S158" s="47">
        <f t="shared" ca="1" si="131"/>
        <v>0</v>
      </c>
      <c r="T158" s="49">
        <f t="shared" ca="1" si="128"/>
        <v>0</v>
      </c>
      <c r="U158" s="49">
        <f t="shared" ca="1" si="129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7">
        <f t="shared" ref="L159:N159" ca="1" si="132">L162+L165</f>
        <v>9000</v>
      </c>
      <c r="M159" s="47">
        <f t="shared" ca="1" si="132"/>
        <v>13920</v>
      </c>
      <c r="N159" s="47">
        <f t="shared" ca="1" si="132"/>
        <v>10075.41</v>
      </c>
      <c r="O159" s="47">
        <f t="shared" ca="1" si="125"/>
        <v>111.949</v>
      </c>
      <c r="P159" s="47">
        <f t="shared" ca="1" si="126"/>
        <v>72.380818965517236</v>
      </c>
      <c r="Q159" s="47">
        <f t="shared" ref="Q159:S159" ca="1" si="133">Q162+Q165</f>
        <v>0</v>
      </c>
      <c r="R159" s="47">
        <f t="shared" ca="1" si="133"/>
        <v>0</v>
      </c>
      <c r="S159" s="47">
        <f t="shared" ca="1" si="133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7">
        <f t="shared" ref="L160:N160" ca="1" si="134">L161+L162</f>
        <v>9000</v>
      </c>
      <c r="M160" s="47">
        <f t="shared" ca="1" si="134"/>
        <v>13920</v>
      </c>
      <c r="N160" s="47">
        <f t="shared" ca="1" si="134"/>
        <v>10075.41</v>
      </c>
      <c r="O160" s="47">
        <f t="shared" ca="1" si="125"/>
        <v>111.949</v>
      </c>
      <c r="P160" s="47">
        <f t="shared" ca="1" si="126"/>
        <v>72.380818965517236</v>
      </c>
      <c r="Q160" s="47">
        <f t="shared" ref="Q160:S160" ca="1" si="135">Q161+Q162</f>
        <v>0</v>
      </c>
      <c r="R160" s="47">
        <f t="shared" ca="1" si="135"/>
        <v>0</v>
      </c>
      <c r="S160" s="47">
        <f t="shared" ca="1" si="135"/>
        <v>0</v>
      </c>
      <c r="T160" s="47">
        <f t="shared" ca="1" si="128"/>
        <v>0</v>
      </c>
      <c r="U160" s="47">
        <f t="shared" ca="1" si="129"/>
        <v>0</v>
      </c>
    </row>
    <row r="161" spans="1:21" ht="18.75" hidden="1" x14ac:dyDescent="0.25">
      <c r="A161" s="128"/>
      <c r="B161" s="41"/>
      <c r="C161" s="41"/>
      <c r="D161" s="41"/>
      <c r="E161" s="48" t="s">
        <v>36</v>
      </c>
      <c r="F161" s="41"/>
      <c r="G161" s="43"/>
      <c r="H161" s="134" t="s">
        <v>14</v>
      </c>
      <c r="I161" s="135"/>
      <c r="J161" s="135"/>
      <c r="K161" s="136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125"/>
        <v>0</v>
      </c>
      <c r="P161" s="47">
        <f t="shared" ca="1" si="126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128"/>
        <v>0</v>
      </c>
      <c r="U161" s="49">
        <f t="shared" ca="1" si="129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9000)</f>
        <v>9000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13920)</f>
        <v>13920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10075.41)</f>
        <v>10075.41</v>
      </c>
      <c r="O162" s="47">
        <f t="shared" ca="1" si="125"/>
        <v>111.949</v>
      </c>
      <c r="P162" s="47">
        <f t="shared" ca="1" si="126"/>
        <v>72.380818965517236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7">
        <f t="shared" ref="L163:N163" ca="1" si="136">L164+L165</f>
        <v>0</v>
      </c>
      <c r="M163" s="47">
        <f t="shared" ca="1" si="136"/>
        <v>0</v>
      </c>
      <c r="N163" s="47">
        <f t="shared" ca="1" si="136"/>
        <v>0</v>
      </c>
      <c r="O163" s="47">
        <f t="shared" ca="1" si="125"/>
        <v>0</v>
      </c>
      <c r="P163" s="47">
        <f t="shared" ca="1" si="126"/>
        <v>0</v>
      </c>
      <c r="Q163" s="47">
        <f t="shared" ref="Q163:S163" ca="1" si="137">Q164+Q165</f>
        <v>0</v>
      </c>
      <c r="R163" s="47">
        <f t="shared" ca="1" si="137"/>
        <v>0</v>
      </c>
      <c r="S163" s="47">
        <f t="shared" ca="1" si="137"/>
        <v>0</v>
      </c>
      <c r="T163" s="47">
        <f t="shared" ca="1" si="128"/>
        <v>0</v>
      </c>
      <c r="U163" s="47">
        <f t="shared" ca="1" si="129"/>
        <v>0</v>
      </c>
    </row>
    <row r="164" spans="1:21" ht="18.75" hidden="1" x14ac:dyDescent="0.25">
      <c r="A164" s="128"/>
      <c r="B164" s="41"/>
      <c r="C164" s="41"/>
      <c r="D164" s="41"/>
      <c r="E164" s="48" t="s">
        <v>20</v>
      </c>
      <c r="F164" s="41"/>
      <c r="G164" s="43"/>
      <c r="H164" s="134" t="s">
        <v>14</v>
      </c>
      <c r="I164" s="135"/>
      <c r="J164" s="135"/>
      <c r="K164" s="136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125"/>
        <v>0</v>
      </c>
      <c r="P164" s="47">
        <f t="shared" ca="1" si="126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128"/>
        <v>0</v>
      </c>
      <c r="U164" s="49">
        <f t="shared" ca="1" si="129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125"/>
        <v>0</v>
      </c>
      <c r="P165" s="47">
        <f t="shared" ca="1" si="126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128"/>
        <v>0</v>
      </c>
      <c r="U165" s="47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89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t="shared" ref="K167:K169" ca="1" si="138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70</v>
      </c>
      <c r="E168" s="41"/>
      <c r="F168" s="41"/>
      <c r="G168" s="43"/>
      <c r="H168" s="137" t="s">
        <v>35</v>
      </c>
      <c r="I168" s="152">
        <f t="shared" ref="I168:I169" ca="1" si="139">I167</f>
        <v>30</v>
      </c>
      <c r="J168" s="152">
        <v>0</v>
      </c>
      <c r="K168" s="47">
        <f t="shared" ca="1" si="138"/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52" t="s">
        <v>71</v>
      </c>
      <c r="E169" s="1"/>
      <c r="F169" s="1"/>
      <c r="G169" s="53"/>
      <c r="H169" s="196" t="s">
        <v>35</v>
      </c>
      <c r="I169" s="197">
        <f t="shared" ca="1" si="139"/>
        <v>30</v>
      </c>
      <c r="J169" s="197">
        <v>0</v>
      </c>
      <c r="K169" s="111">
        <f t="shared" ca="1" si="138"/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t="shared" ref="I172:J172" ca="1" si="140">I183+I184</f>
        <v>172</v>
      </c>
      <c r="J172" s="214">
        <f t="shared" ca="1" si="140"/>
        <v>77</v>
      </c>
      <c r="K172" s="215">
        <f ca="1">IF(I172&gt;0,J172*100/I172,0)</f>
        <v>44.767441860465119</v>
      </c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13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132">
        <f t="shared" ref="L173:N173" ca="1" si="141">L174+L175</f>
        <v>215490</v>
      </c>
      <c r="M173" s="132">
        <f t="shared" ca="1" si="141"/>
        <v>438690</v>
      </c>
      <c r="N173" s="132">
        <f t="shared" ca="1" si="141"/>
        <v>433401</v>
      </c>
      <c r="O173" s="132">
        <f t="shared" ref="O173:O181" ca="1" si="142">IF(L173&gt;0,N173*100/L173,0)</f>
        <v>201.12348600863149</v>
      </c>
      <c r="P173" s="132">
        <f t="shared" ref="P173:P181" ca="1" si="143">IF(M173&gt;0,N173*100/M173,0)</f>
        <v>98.794365041373183</v>
      </c>
      <c r="Q173" s="132">
        <f t="shared" ref="Q173:S173" ca="1" si="144">Q174+Q175</f>
        <v>64480</v>
      </c>
      <c r="R173" s="132">
        <f t="shared" ca="1" si="144"/>
        <v>64480</v>
      </c>
      <c r="S173" s="132">
        <f t="shared" ca="1" si="144"/>
        <v>32192</v>
      </c>
      <c r="T173" s="132">
        <f t="shared" ref="T173:T181" ca="1" si="145">IF(Q173&gt;0,S173*100/Q173,0)</f>
        <v>49.925558312655085</v>
      </c>
      <c r="U173" s="132">
        <f t="shared" ref="U173:U181" ca="1" si="146">IF(R173&gt;0,S173*100/R173,0)</f>
        <v>49.925558312655085</v>
      </c>
    </row>
    <row r="174" spans="1:21" ht="18.75" hidden="1" x14ac:dyDescent="0.25">
      <c r="A174" s="128"/>
      <c r="B174" s="41"/>
      <c r="C174" s="41"/>
      <c r="D174" s="41"/>
      <c r="E174" s="48" t="s">
        <v>20</v>
      </c>
      <c r="F174" s="41"/>
      <c r="G174" s="43"/>
      <c r="H174" s="133" t="s">
        <v>14</v>
      </c>
      <c r="I174" s="45"/>
      <c r="J174" s="45"/>
      <c r="K174" s="46"/>
      <c r="L174" s="47">
        <f t="shared" ref="L174:N174" ca="1" si="147">L177+L180</f>
        <v>0</v>
      </c>
      <c r="M174" s="47">
        <f t="shared" ca="1" si="147"/>
        <v>0</v>
      </c>
      <c r="N174" s="47">
        <f t="shared" ca="1" si="147"/>
        <v>0</v>
      </c>
      <c r="O174" s="47">
        <f t="shared" ca="1" si="142"/>
        <v>0</v>
      </c>
      <c r="P174" s="47">
        <f t="shared" ca="1" si="143"/>
        <v>0</v>
      </c>
      <c r="Q174" s="47">
        <f t="shared" ref="Q174:S174" ca="1" si="148">Q177+Q180</f>
        <v>0</v>
      </c>
      <c r="R174" s="47">
        <f t="shared" ca="1" si="148"/>
        <v>0</v>
      </c>
      <c r="S174" s="47">
        <f t="shared" ca="1" si="148"/>
        <v>0</v>
      </c>
      <c r="T174" s="49">
        <f t="shared" ca="1" si="145"/>
        <v>0</v>
      </c>
      <c r="U174" s="49">
        <f t="shared" ca="1" si="14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7">
        <f t="shared" ref="L175:N175" ca="1" si="149">L178+L181</f>
        <v>215490</v>
      </c>
      <c r="M175" s="47">
        <f t="shared" ca="1" si="149"/>
        <v>438690</v>
      </c>
      <c r="N175" s="47">
        <f t="shared" ca="1" si="149"/>
        <v>433401</v>
      </c>
      <c r="O175" s="47">
        <f t="shared" ca="1" si="142"/>
        <v>201.12348600863149</v>
      </c>
      <c r="P175" s="47">
        <f t="shared" ca="1" si="143"/>
        <v>98.794365041373183</v>
      </c>
      <c r="Q175" s="47">
        <f t="shared" ref="Q175:S175" ca="1" si="150">Q178+Q181</f>
        <v>64480</v>
      </c>
      <c r="R175" s="47">
        <f t="shared" ca="1" si="150"/>
        <v>64480</v>
      </c>
      <c r="S175" s="47">
        <f t="shared" ca="1" si="150"/>
        <v>32192</v>
      </c>
      <c r="T175" s="47">
        <f t="shared" ca="1" si="145"/>
        <v>49.925558312655085</v>
      </c>
      <c r="U175" s="47">
        <f t="shared" ca="1" si="146"/>
        <v>49.925558312655085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7">
        <f t="shared" ref="L176:N176" ca="1" si="151">L177+L178</f>
        <v>215490</v>
      </c>
      <c r="M176" s="47">
        <f t="shared" ca="1" si="151"/>
        <v>438690</v>
      </c>
      <c r="N176" s="47">
        <f t="shared" ca="1" si="151"/>
        <v>433401</v>
      </c>
      <c r="O176" s="47">
        <f t="shared" ca="1" si="142"/>
        <v>201.12348600863149</v>
      </c>
      <c r="P176" s="47">
        <f t="shared" ca="1" si="143"/>
        <v>98.794365041373183</v>
      </c>
      <c r="Q176" s="47">
        <f t="shared" ref="Q176:S176" ca="1" si="152">Q177+Q178</f>
        <v>64480</v>
      </c>
      <c r="R176" s="47">
        <f t="shared" ca="1" si="152"/>
        <v>64480</v>
      </c>
      <c r="S176" s="47">
        <f t="shared" ca="1" si="152"/>
        <v>32192</v>
      </c>
      <c r="T176" s="47">
        <f t="shared" ca="1" si="145"/>
        <v>49.925558312655085</v>
      </c>
      <c r="U176" s="47">
        <f t="shared" ca="1" si="146"/>
        <v>49.925558312655085</v>
      </c>
    </row>
    <row r="177" spans="1:21" ht="18.75" hidden="1" x14ac:dyDescent="0.25">
      <c r="A177" s="128"/>
      <c r="B177" s="41"/>
      <c r="C177" s="41"/>
      <c r="D177" s="41"/>
      <c r="E177" s="48" t="s">
        <v>36</v>
      </c>
      <c r="F177" s="41"/>
      <c r="G177" s="43"/>
      <c r="H177" s="134" t="s">
        <v>14</v>
      </c>
      <c r="I177" s="135"/>
      <c r="J177" s="135"/>
      <c r="K177" s="136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142"/>
        <v>0</v>
      </c>
      <c r="P177" s="47">
        <f t="shared" ca="1" si="143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145"/>
        <v>0</v>
      </c>
      <c r="U177" s="49">
        <f t="shared" ca="1" si="14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433401)</f>
        <v>433401</v>
      </c>
      <c r="O178" s="47">
        <f t="shared" ca="1" si="142"/>
        <v>201.12348600863149</v>
      </c>
      <c r="P178" s="47">
        <f t="shared" ca="1" si="143"/>
        <v>98.794365041373183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64480)</f>
        <v>64480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64480)</f>
        <v>64480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32192)</f>
        <v>32192</v>
      </c>
      <c r="T178" s="47">
        <f t="shared" ca="1" si="145"/>
        <v>49.925558312655085</v>
      </c>
      <c r="U178" s="47">
        <f t="shared" ca="1" si="146"/>
        <v>49.925558312655085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7">
        <f t="shared" ref="L179:N179" ca="1" si="153">L180+L181</f>
        <v>0</v>
      </c>
      <c r="M179" s="47">
        <f t="shared" ca="1" si="153"/>
        <v>0</v>
      </c>
      <c r="N179" s="47">
        <f t="shared" ca="1" si="153"/>
        <v>0</v>
      </c>
      <c r="O179" s="47">
        <f t="shared" ca="1" si="142"/>
        <v>0</v>
      </c>
      <c r="P179" s="47">
        <f t="shared" ca="1" si="143"/>
        <v>0</v>
      </c>
      <c r="Q179" s="47">
        <f t="shared" ref="Q179:S179" ca="1" si="154">Q180+Q181</f>
        <v>0</v>
      </c>
      <c r="R179" s="47">
        <f t="shared" ca="1" si="154"/>
        <v>0</v>
      </c>
      <c r="S179" s="47">
        <f t="shared" ca="1" si="154"/>
        <v>0</v>
      </c>
      <c r="T179" s="47">
        <f t="shared" ca="1" si="145"/>
        <v>0</v>
      </c>
      <c r="U179" s="47">
        <f t="shared" ca="1" si="146"/>
        <v>0</v>
      </c>
    </row>
    <row r="180" spans="1:21" ht="18.75" hidden="1" x14ac:dyDescent="0.25">
      <c r="A180" s="128"/>
      <c r="B180" s="41"/>
      <c r="C180" s="41"/>
      <c r="D180" s="41"/>
      <c r="E180" s="48" t="s">
        <v>20</v>
      </c>
      <c r="F180" s="41"/>
      <c r="G180" s="43"/>
      <c r="H180" s="134" t="s">
        <v>14</v>
      </c>
      <c r="I180" s="135"/>
      <c r="J180" s="135"/>
      <c r="K180" s="136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142"/>
        <v>0</v>
      </c>
      <c r="P180" s="47">
        <f t="shared" ca="1" si="143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145"/>
        <v>0</v>
      </c>
      <c r="U180" s="49">
        <f t="shared" ca="1" si="14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142"/>
        <v>0</v>
      </c>
      <c r="P181" s="47">
        <f t="shared" ca="1" si="143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145"/>
        <v>0</v>
      </c>
      <c r="U181" s="47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89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102)</f>
        <v>102</v>
      </c>
      <c r="J183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77)</f>
        <v>77</v>
      </c>
      <c r="K183" s="47">
        <f t="shared" ref="K183:K185" ca="1" si="155">IF(I183&gt;0,J183*100/I183,0)</f>
        <v>75.490196078431367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218" t="s">
        <v>76</v>
      </c>
      <c r="E184" s="41"/>
      <c r="F184" s="41"/>
      <c r="G184" s="43"/>
      <c r="H184" s="219" t="s">
        <v>35</v>
      </c>
      <c r="I184" s="152">
        <v>70</v>
      </c>
      <c r="J184" s="152">
        <v>0</v>
      </c>
      <c r="K184" s="47">
        <f t="shared" si="155"/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20">
        <f t="shared" ref="I185:J185" ca="1" si="156">I230+I231</f>
        <v>0</v>
      </c>
      <c r="J185" s="220">
        <f t="shared" ca="1" si="156"/>
        <v>0</v>
      </c>
      <c r="K185" s="221">
        <f t="shared" ca="1" si="155"/>
        <v>0</v>
      </c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13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132">
        <f t="shared" ref="L186:N186" ca="1" si="157">L187+L188</f>
        <v>2562900</v>
      </c>
      <c r="M186" s="132">
        <f t="shared" ca="1" si="157"/>
        <v>2733315</v>
      </c>
      <c r="N186" s="132">
        <f t="shared" ca="1" si="157"/>
        <v>1873220.46</v>
      </c>
      <c r="O186" s="132">
        <f t="shared" ref="O186:O194" ca="1" si="158">IF(L186&gt;0,N186*100/L186,0)</f>
        <v>73.089877092356318</v>
      </c>
      <c r="P186" s="132">
        <f t="shared" ref="P186:P194" ca="1" si="159">IF(M186&gt;0,N186*100/M186,0)</f>
        <v>68.532915525652911</v>
      </c>
      <c r="Q186" s="132">
        <f t="shared" ref="Q186:S186" ca="1" si="160">Q187+Q188</f>
        <v>903000</v>
      </c>
      <c r="R186" s="132">
        <f t="shared" ca="1" si="160"/>
        <v>903000</v>
      </c>
      <c r="S186" s="132">
        <f t="shared" ca="1" si="160"/>
        <v>564195</v>
      </c>
      <c r="T186" s="132">
        <f t="shared" ref="T186:T194" ca="1" si="161">IF(Q186&gt;0,S186*100/Q186,0)</f>
        <v>62.480066445182722</v>
      </c>
      <c r="U186" s="132">
        <f t="shared" ref="U186:U194" ca="1" si="162">IF(R186&gt;0,S186*100/R186,0)</f>
        <v>62.480066445182722</v>
      </c>
    </row>
    <row r="187" spans="1:21" ht="18.75" hidden="1" x14ac:dyDescent="0.25">
      <c r="A187" s="128"/>
      <c r="B187" s="41"/>
      <c r="C187" s="41"/>
      <c r="D187" s="41"/>
      <c r="E187" s="48" t="s">
        <v>20</v>
      </c>
      <c r="F187" s="41"/>
      <c r="G187" s="43"/>
      <c r="H187" s="133" t="s">
        <v>14</v>
      </c>
      <c r="I187" s="45"/>
      <c r="J187" s="45"/>
      <c r="K187" s="46"/>
      <c r="L187" s="47">
        <f t="shared" ref="L187:N187" ca="1" si="163">L190+L193</f>
        <v>0</v>
      </c>
      <c r="M187" s="47">
        <f t="shared" ca="1" si="163"/>
        <v>0</v>
      </c>
      <c r="N187" s="47">
        <f t="shared" ca="1" si="163"/>
        <v>0</v>
      </c>
      <c r="O187" s="47">
        <f t="shared" ca="1" si="158"/>
        <v>0</v>
      </c>
      <c r="P187" s="47">
        <f t="shared" ca="1" si="159"/>
        <v>0</v>
      </c>
      <c r="Q187" s="47">
        <f t="shared" ref="Q187:S187" ca="1" si="164">Q190+Q193</f>
        <v>0</v>
      </c>
      <c r="R187" s="47">
        <f t="shared" ca="1" si="164"/>
        <v>0</v>
      </c>
      <c r="S187" s="47">
        <f t="shared" ca="1" si="164"/>
        <v>0</v>
      </c>
      <c r="T187" s="49">
        <f t="shared" ca="1" si="161"/>
        <v>0</v>
      </c>
      <c r="U187" s="49">
        <f t="shared" ca="1" si="1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7">
        <f t="shared" ref="L188:N188" ca="1" si="165">L191+L194</f>
        <v>2562900</v>
      </c>
      <c r="M188" s="47">
        <f t="shared" ca="1" si="165"/>
        <v>2733315</v>
      </c>
      <c r="N188" s="47">
        <f t="shared" ca="1" si="165"/>
        <v>1873220.46</v>
      </c>
      <c r="O188" s="47">
        <f t="shared" ca="1" si="158"/>
        <v>73.089877092356318</v>
      </c>
      <c r="P188" s="47">
        <f t="shared" ca="1" si="159"/>
        <v>68.532915525652911</v>
      </c>
      <c r="Q188" s="47">
        <f t="shared" ref="Q188:S188" ca="1" si="166">Q191+Q194</f>
        <v>903000</v>
      </c>
      <c r="R188" s="47">
        <f t="shared" ca="1" si="166"/>
        <v>903000</v>
      </c>
      <c r="S188" s="47">
        <f t="shared" ca="1" si="166"/>
        <v>564195</v>
      </c>
      <c r="T188" s="47">
        <f t="shared" ca="1" si="161"/>
        <v>62.480066445182722</v>
      </c>
      <c r="U188" s="47">
        <f t="shared" ca="1" si="162"/>
        <v>62.480066445182722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7">
        <f t="shared" ref="L189:N189" ca="1" si="167">L190+L191</f>
        <v>2562900</v>
      </c>
      <c r="M189" s="47">
        <f t="shared" ca="1" si="167"/>
        <v>2733315</v>
      </c>
      <c r="N189" s="47">
        <f t="shared" ca="1" si="167"/>
        <v>1873220.46</v>
      </c>
      <c r="O189" s="47">
        <f t="shared" ca="1" si="158"/>
        <v>73.089877092356318</v>
      </c>
      <c r="P189" s="47">
        <f t="shared" ca="1" si="159"/>
        <v>68.532915525652911</v>
      </c>
      <c r="Q189" s="47">
        <f t="shared" ref="Q189:S189" ca="1" si="168">Q190+Q191</f>
        <v>903000</v>
      </c>
      <c r="R189" s="47">
        <f t="shared" ca="1" si="168"/>
        <v>903000</v>
      </c>
      <c r="S189" s="47">
        <f t="shared" ca="1" si="168"/>
        <v>564195</v>
      </c>
      <c r="T189" s="47">
        <f t="shared" ca="1" si="161"/>
        <v>62.480066445182722</v>
      </c>
      <c r="U189" s="47">
        <f t="shared" ca="1" si="162"/>
        <v>62.480066445182722</v>
      </c>
    </row>
    <row r="190" spans="1:21" ht="18.75" hidden="1" x14ac:dyDescent="0.25">
      <c r="A190" s="128"/>
      <c r="B190" s="41"/>
      <c r="C190" s="41"/>
      <c r="D190" s="41"/>
      <c r="E190" s="48" t="s">
        <v>36</v>
      </c>
      <c r="F190" s="41"/>
      <c r="G190" s="43"/>
      <c r="H190" s="134" t="s">
        <v>14</v>
      </c>
      <c r="I190" s="135"/>
      <c r="J190" s="135"/>
      <c r="K190" s="136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158"/>
        <v>0</v>
      </c>
      <c r="P190" s="47">
        <f t="shared" ca="1" si="159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161"/>
        <v>0</v>
      </c>
      <c r="U190" s="49">
        <f t="shared" ca="1" si="1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2562900)</f>
        <v>2562900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2733315)</f>
        <v>2733315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1873220.46)</f>
        <v>1873220.46</v>
      </c>
      <c r="O191" s="47">
        <f t="shared" ca="1" si="158"/>
        <v>73.089877092356318</v>
      </c>
      <c r="P191" s="47">
        <f t="shared" ca="1" si="159"/>
        <v>68.532915525652911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903000)</f>
        <v>903000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564195)</f>
        <v>564195</v>
      </c>
      <c r="T191" s="47">
        <f t="shared" ca="1" si="161"/>
        <v>62.480066445182722</v>
      </c>
      <c r="U191" s="47">
        <f t="shared" ca="1" si="162"/>
        <v>62.480066445182722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7">
        <f t="shared" ref="L192:N192" ca="1" si="169">L193+L194</f>
        <v>0</v>
      </c>
      <c r="M192" s="47">
        <f t="shared" ca="1" si="169"/>
        <v>0</v>
      </c>
      <c r="N192" s="47">
        <f t="shared" ca="1" si="169"/>
        <v>0</v>
      </c>
      <c r="O192" s="47">
        <f t="shared" ca="1" si="158"/>
        <v>0</v>
      </c>
      <c r="P192" s="47">
        <f t="shared" ca="1" si="159"/>
        <v>0</v>
      </c>
      <c r="Q192" s="47">
        <f t="shared" ref="Q192:S192" ca="1" si="170">Q193+Q194</f>
        <v>0</v>
      </c>
      <c r="R192" s="47">
        <f t="shared" ca="1" si="170"/>
        <v>0</v>
      </c>
      <c r="S192" s="47">
        <f t="shared" ca="1" si="170"/>
        <v>0</v>
      </c>
      <c r="T192" s="47">
        <f t="shared" ca="1" si="161"/>
        <v>0</v>
      </c>
      <c r="U192" s="47">
        <f t="shared" ca="1" si="162"/>
        <v>0</v>
      </c>
    </row>
    <row r="193" spans="1:21" ht="18.75" hidden="1" x14ac:dyDescent="0.25">
      <c r="A193" s="128"/>
      <c r="B193" s="41"/>
      <c r="C193" s="41"/>
      <c r="D193" s="41"/>
      <c r="E193" s="48" t="s">
        <v>20</v>
      </c>
      <c r="F193" s="41"/>
      <c r="G193" s="43"/>
      <c r="H193" s="134" t="s">
        <v>14</v>
      </c>
      <c r="I193" s="135"/>
      <c r="J193" s="135"/>
      <c r="K193" s="136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158"/>
        <v>0</v>
      </c>
      <c r="P193" s="47">
        <f t="shared" ca="1" si="159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161"/>
        <v>0</v>
      </c>
      <c r="U193" s="49">
        <f t="shared" ca="1" si="1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158"/>
        <v>0</v>
      </c>
      <c r="P194" s="47">
        <f t="shared" ca="1" si="159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161"/>
        <v>0</v>
      </c>
      <c r="U194" s="47">
        <f t="shared" ca="1" si="1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t="shared" ref="I195:J195" ca="1" si="171">I198</f>
        <v>56</v>
      </c>
      <c r="J195" s="228">
        <f t="shared" ca="1" si="171"/>
        <v>41</v>
      </c>
      <c r="K195" s="229">
        <f ca="1">IF(I195&gt;0,J195*100/I195,0)</f>
        <v>73.214285714285708</v>
      </c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231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25816)</f>
        <v>25816</v>
      </c>
      <c r="O196" s="132">
        <f ca="1">IF(L196&gt;0,N196*100/L196,0)</f>
        <v>30.733333333333334</v>
      </c>
      <c r="P196" s="46"/>
      <c r="Q196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41)</f>
        <v>41</v>
      </c>
      <c r="K198" s="47">
        <f ca="1">IF(I198&gt;0,J198*100/I198,0)</f>
        <v>73.214285714285708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33" t="s">
        <v>35</v>
      </c>
      <c r="I199" s="45"/>
      <c r="J199" s="147">
        <f ca="1">J200+J201</f>
        <v>1232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1232)</f>
        <v>1232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35">
        <f t="shared" ref="I202:J202" ca="1" si="172">I209</f>
        <v>30</v>
      </c>
      <c r="J202" s="235">
        <f t="shared" ca="1" si="172"/>
        <v>19</v>
      </c>
      <c r="K202" s="236">
        <f ca="1">IF(I202&gt;0,J202*100/I202,0)</f>
        <v>63.333333333333336</v>
      </c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231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132">
        <f t="shared" ref="L203:N203" ca="1" si="173">L204+L205+L206+L207</f>
        <v>176000</v>
      </c>
      <c r="M203" s="132">
        <f t="shared" ca="1" si="173"/>
        <v>0</v>
      </c>
      <c r="N203" s="132">
        <f t="shared" ca="1" si="173"/>
        <v>93792</v>
      </c>
      <c r="O203" s="132">
        <f ca="1">IF(L203&gt;0,N203*100/L203,0)</f>
        <v>53.290909090909089</v>
      </c>
      <c r="P203" s="46"/>
      <c r="Q203" s="132">
        <f t="shared" ref="Q203:S203" ca="1" si="174">Q204+Q205+Q206+Q207</f>
        <v>406000</v>
      </c>
      <c r="R203" s="132">
        <f t="shared" ca="1" si="174"/>
        <v>0</v>
      </c>
      <c r="S203" s="132">
        <f t="shared" ca="1" si="174"/>
        <v>206900</v>
      </c>
      <c r="T203" s="46"/>
      <c r="U203" s="46"/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30000)</f>
        <v>30000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9197)</f>
        <v>9197</v>
      </c>
      <c r="O204" s="136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6"/>
      <c r="P205" s="46"/>
      <c r="Q205" s="47">
        <v>0</v>
      </c>
      <c r="R205" s="47">
        <v>0</v>
      </c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8000)</f>
        <v>8000</v>
      </c>
      <c r="O206" s="136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206900)</f>
        <v>206900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138000)</f>
        <v>138000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76595)</f>
        <v>76595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238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38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19)</f>
        <v>19</v>
      </c>
      <c r="K209" s="239">
        <f ca="1">IF(I209&gt;0,J209*100/I209,0)</f>
        <v>63.333333333333336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v>0</v>
      </c>
      <c r="J211" s="238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18)</f>
        <v>18</v>
      </c>
      <c r="K211" s="153">
        <f t="shared" ref="K211:K213" si="175"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v>0</v>
      </c>
      <c r="J212" s="238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1)</f>
        <v>1</v>
      </c>
      <c r="K212" s="153">
        <f t="shared" si="175"/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35">
        <f t="shared" ref="I213:J213" ca="1" si="176">I220</f>
        <v>10</v>
      </c>
      <c r="J213" s="235">
        <f t="shared" ca="1" si="176"/>
        <v>7</v>
      </c>
      <c r="K213" s="236">
        <f t="shared" ca="1" si="175"/>
        <v>70</v>
      </c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231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132">
        <f t="shared" ref="L214:N214" ca="1" si="177">L215+L216+L217</f>
        <v>60000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6"/>
      <c r="Q214" s="132">
        <f t="shared" ref="Q214:S214" ca="1" si="178">Q215+Q216+Q217</f>
        <v>497000</v>
      </c>
      <c r="R214" s="132">
        <f t="shared" ca="1" si="178"/>
        <v>0</v>
      </c>
      <c r="S214" s="132">
        <f t="shared" ca="1" si="178"/>
        <v>299300</v>
      </c>
      <c r="T214" s="46"/>
      <c r="U214" s="46"/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10000)</f>
        <v>10000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5" s="136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50000)</f>
        <v>50000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299300)</f>
        <v>299300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140" t="s">
        <v>38</v>
      </c>
      <c r="E218" s="141"/>
      <c r="F218" s="141"/>
      <c r="G218" s="142"/>
      <c r="H218" s="143"/>
      <c r="I218" s="135"/>
      <c r="J218" s="45"/>
      <c r="K218" s="46"/>
      <c r="L218" s="46"/>
      <c r="M218" s="46"/>
      <c r="N218" s="46"/>
      <c r="O218" s="136"/>
      <c r="P218" s="136"/>
      <c r="Q218" s="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238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38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19" s="240">
        <f t="shared" ref="K219:K221" ca="1" si="179">IF(I219&gt;0,J219*100/I219,0)</f>
        <v>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238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38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7)</f>
        <v>7</v>
      </c>
      <c r="K220" s="240">
        <f t="shared" ca="1" si="179"/>
        <v>70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35">
        <f t="shared" ref="I221:J221" ca="1" si="180">I229</f>
        <v>239000</v>
      </c>
      <c r="J221" s="235">
        <f t="shared" ca="1" si="180"/>
        <v>55000</v>
      </c>
      <c r="K221" s="236">
        <f t="shared" ca="1" si="179"/>
        <v>23.01255230125523</v>
      </c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231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132">
        <f t="shared" ref="L222:N222" ca="1" si="181">L223+L224+L225</f>
        <v>66500</v>
      </c>
      <c r="M222" s="132">
        <f t="shared" ca="1" si="181"/>
        <v>0</v>
      </c>
      <c r="N222" s="132">
        <f t="shared" ca="1" si="181"/>
        <v>11900</v>
      </c>
      <c r="O222" s="132">
        <f ca="1">IF(L222&gt;0,N222*100/L222,0)</f>
        <v>17.894736842105264</v>
      </c>
      <c r="P222" s="46"/>
      <c r="Q222" s="132">
        <f t="shared" ref="Q222:S222" ca="1" si="182">Q223+Q224+Q225</f>
        <v>0</v>
      </c>
      <c r="R222" s="132">
        <f t="shared" ca="1" si="182"/>
        <v>0</v>
      </c>
      <c r="S222" s="132">
        <f t="shared" ca="1" si="182"/>
        <v>0</v>
      </c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32500)</f>
        <v>32500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5900)</f>
        <v>5900</v>
      </c>
      <c r="O223" s="136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34000)</f>
        <v>34000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6000)</f>
        <v>6000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6"/>
      <c r="U224" s="46"/>
    </row>
    <row r="225" spans="1:21" ht="12.75" hidden="1" x14ac:dyDescent="0.2">
      <c r="A225" s="241"/>
      <c r="B225" s="242"/>
      <c r="C225" s="242"/>
      <c r="D225" s="243"/>
      <c r="E225" s="243"/>
      <c r="F225" s="243"/>
      <c r="G225" s="244"/>
      <c r="H225" s="245"/>
      <c r="I225" s="246"/>
      <c r="J225" s="246"/>
      <c r="K225" s="247"/>
      <c r="L225" s="247"/>
      <c r="M225" s="247"/>
      <c r="N225" s="247"/>
      <c r="O225" s="247"/>
      <c r="P225" s="247"/>
      <c r="Q225" s="247"/>
      <c r="R225" s="247"/>
      <c r="S225" s="247"/>
      <c r="T225" s="136"/>
      <c r="U225" s="46"/>
    </row>
    <row r="226" spans="1:21" ht="19.5" x14ac:dyDescent="0.3">
      <c r="A226" s="138"/>
      <c r="B226" s="139"/>
      <c r="C226" s="162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238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38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115000)</f>
        <v>115000</v>
      </c>
      <c r="K228" s="239">
        <f t="shared" ref="K228:K231" ca="1" si="183">IF(I228&gt;0,J228*100/I228,0)</f>
        <v>48.11715481171548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238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38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55000)</f>
        <v>55000</v>
      </c>
      <c r="K229" s="239">
        <f t="shared" ca="1" si="183"/>
        <v>23.01255230125523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238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38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0" s="239">
        <f t="shared" ca="1" si="183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t="shared" ref="I231:J231" si="184">I242+I253</f>
        <v>0</v>
      </c>
      <c r="J231" s="228">
        <f t="shared" si="184"/>
        <v>0</v>
      </c>
      <c r="K231" s="229">
        <f t="shared" si="183"/>
        <v>0</v>
      </c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13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132">
        <f t="shared" ref="L232:N232" ca="1" si="185">L233+L234+L235+L236</f>
        <v>409600</v>
      </c>
      <c r="M232" s="132">
        <f t="shared" ca="1" si="185"/>
        <v>0</v>
      </c>
      <c r="N232" s="132">
        <f t="shared" ca="1" si="185"/>
        <v>170699.40999999997</v>
      </c>
      <c r="O232" s="132">
        <f ca="1">IF(L232&gt;0,N232*100/L232,0)</f>
        <v>41.674660644531244</v>
      </c>
      <c r="P232" s="46"/>
      <c r="Q232" s="132">
        <f t="shared" ref="Q232:S232" ca="1" si="186">Q233+Q234+Q235+Q236</f>
        <v>0</v>
      </c>
      <c r="R232" s="132">
        <f t="shared" ca="1" si="186"/>
        <v>0</v>
      </c>
      <c r="S232" s="132">
        <f t="shared" ca="1" si="186"/>
        <v>0</v>
      </c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167000)</f>
        <v>167000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12138.4)</f>
        <v>12138.4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10000)</f>
        <v>10000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76700.01)</f>
        <v>76700.009999999995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92600)</f>
        <v>92600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140000)</f>
        <v>140000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42695)</f>
        <v>42695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140" t="s">
        <v>38</v>
      </c>
      <c r="E237" s="141"/>
      <c r="F237" s="141"/>
      <c r="G237" s="142"/>
      <c r="H237" s="143"/>
      <c r="I237" s="135"/>
      <c r="J237" s="45"/>
      <c r="K237" s="46"/>
      <c r="L237" s="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110)</f>
        <v>110</v>
      </c>
      <c r="J238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8" s="47">
        <f ca="1">IF(I238&gt;0,J238*100/I238,0)</f>
        <v>39.090909090909093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v>0</v>
      </c>
      <c r="J240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23)</f>
        <v>23</v>
      </c>
      <c r="K240" s="47">
        <f t="shared" ref="K240:K241" si="187"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6)</f>
        <v>6</v>
      </c>
      <c r="K241" s="47">
        <f t="shared" si="187"/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41"/>
      <c r="B242" s="242"/>
      <c r="C242" s="249" t="s">
        <v>111</v>
      </c>
      <c r="D242" s="243"/>
      <c r="E242" s="243"/>
      <c r="F242" s="243"/>
      <c r="G242" s="244"/>
      <c r="H242" s="250" t="s">
        <v>35</v>
      </c>
      <c r="I242" s="246"/>
      <c r="J242" s="246"/>
      <c r="K242" s="247"/>
      <c r="L242" s="247"/>
      <c r="M242" s="247"/>
      <c r="N242" s="247"/>
      <c r="O242" s="247"/>
      <c r="P242" s="247"/>
      <c r="Q242" s="247"/>
      <c r="R242" s="247"/>
      <c r="S242" s="247"/>
      <c r="T242" s="230"/>
      <c r="U242" s="230"/>
    </row>
    <row r="243" spans="1:21" ht="19.5" hidden="1" x14ac:dyDescent="0.3">
      <c r="A243" s="251"/>
      <c r="B243" s="243"/>
      <c r="C243" s="249" t="s">
        <v>18</v>
      </c>
      <c r="D243" s="252" t="s">
        <v>19</v>
      </c>
      <c r="E243" s="243"/>
      <c r="F243" s="243"/>
      <c r="G243" s="244"/>
      <c r="H243" s="253" t="s">
        <v>14</v>
      </c>
      <c r="I243" s="246"/>
      <c r="J243" s="246"/>
      <c r="K243" s="247"/>
      <c r="L243" s="247"/>
      <c r="M243" s="247"/>
      <c r="N243" s="247"/>
      <c r="O243" s="247"/>
      <c r="P243" s="247"/>
      <c r="Q243" s="247"/>
      <c r="R243" s="247"/>
      <c r="S243" s="247"/>
      <c r="T243" s="46"/>
      <c r="U243" s="46"/>
    </row>
    <row r="244" spans="1:21" ht="18.75" hidden="1" x14ac:dyDescent="0.25">
      <c r="A244" s="251"/>
      <c r="B244" s="242"/>
      <c r="C244" s="243"/>
      <c r="D244" s="254" t="s">
        <v>86</v>
      </c>
      <c r="E244" s="243"/>
      <c r="F244" s="243"/>
      <c r="G244" s="244"/>
      <c r="H244" s="255" t="s">
        <v>14</v>
      </c>
      <c r="I244" s="246"/>
      <c r="J244" s="246"/>
      <c r="K244" s="247"/>
      <c r="L244" s="247"/>
      <c r="M244" s="247"/>
      <c r="N244" s="247"/>
      <c r="O244" s="247"/>
      <c r="P244" s="247"/>
      <c r="Q244" s="247"/>
      <c r="R244" s="247"/>
      <c r="S244" s="247"/>
      <c r="T244" s="46"/>
      <c r="U244" s="46"/>
    </row>
    <row r="245" spans="1:21" ht="18.75" hidden="1" x14ac:dyDescent="0.25">
      <c r="A245" s="241"/>
      <c r="B245" s="242"/>
      <c r="C245" s="242"/>
      <c r="D245" s="254" t="s">
        <v>88</v>
      </c>
      <c r="E245" s="243"/>
      <c r="F245" s="243"/>
      <c r="G245" s="244"/>
      <c r="H245" s="255" t="s">
        <v>14</v>
      </c>
      <c r="I245" s="246"/>
      <c r="J245" s="246"/>
      <c r="K245" s="247"/>
      <c r="L245" s="247"/>
      <c r="M245" s="247"/>
      <c r="N245" s="247"/>
      <c r="O245" s="247"/>
      <c r="P245" s="247"/>
      <c r="Q245" s="247"/>
      <c r="R245" s="247"/>
      <c r="S245" s="247"/>
      <c r="T245" s="46"/>
      <c r="U245" s="46"/>
    </row>
    <row r="246" spans="1:21" ht="18.75" hidden="1" x14ac:dyDescent="0.25">
      <c r="A246" s="241"/>
      <c r="B246" s="242"/>
      <c r="C246" s="242"/>
      <c r="D246" s="254" t="s">
        <v>106</v>
      </c>
      <c r="E246" s="243"/>
      <c r="F246" s="243"/>
      <c r="G246" s="244"/>
      <c r="H246" s="255" t="s">
        <v>14</v>
      </c>
      <c r="I246" s="246"/>
      <c r="J246" s="246"/>
      <c r="K246" s="247"/>
      <c r="L246" s="247"/>
      <c r="M246" s="247"/>
      <c r="N246" s="247"/>
      <c r="O246" s="247"/>
      <c r="P246" s="247"/>
      <c r="Q246" s="247"/>
      <c r="R246" s="247"/>
      <c r="S246" s="247"/>
      <c r="T246" s="46"/>
      <c r="U246" s="46"/>
    </row>
    <row r="247" spans="1:21" ht="18.75" hidden="1" x14ac:dyDescent="0.25">
      <c r="A247" s="241"/>
      <c r="B247" s="242"/>
      <c r="C247" s="242"/>
      <c r="D247" s="254" t="s">
        <v>107</v>
      </c>
      <c r="E247" s="243"/>
      <c r="F247" s="243"/>
      <c r="G247" s="244"/>
      <c r="H247" s="255" t="s">
        <v>14</v>
      </c>
      <c r="I247" s="246"/>
      <c r="J247" s="246"/>
      <c r="K247" s="247"/>
      <c r="L247" s="247"/>
      <c r="M247" s="247"/>
      <c r="N247" s="247"/>
      <c r="O247" s="247"/>
      <c r="P247" s="247"/>
      <c r="Q247" s="247"/>
      <c r="R247" s="247"/>
      <c r="S247" s="247"/>
      <c r="T247" s="46"/>
      <c r="U247" s="46"/>
    </row>
    <row r="248" spans="1:21" ht="19.5" hidden="1" x14ac:dyDescent="0.3">
      <c r="A248" s="241"/>
      <c r="B248" s="242"/>
      <c r="C248" s="256" t="s">
        <v>18</v>
      </c>
      <c r="D248" s="257" t="s">
        <v>38</v>
      </c>
      <c r="E248" s="243"/>
      <c r="F248" s="243"/>
      <c r="G248" s="244"/>
      <c r="H248" s="244"/>
      <c r="I248" s="246"/>
      <c r="J248" s="246"/>
      <c r="K248" s="247"/>
      <c r="L248" s="247"/>
      <c r="M248" s="247"/>
      <c r="N248" s="247"/>
      <c r="O248" s="247"/>
      <c r="P248" s="247"/>
      <c r="Q248" s="247"/>
      <c r="R248" s="247"/>
      <c r="S248" s="247"/>
      <c r="T248" s="136"/>
      <c r="U248" s="136"/>
    </row>
    <row r="249" spans="1:21" ht="18.75" hidden="1" x14ac:dyDescent="0.25">
      <c r="A249" s="241"/>
      <c r="B249" s="242"/>
      <c r="C249" s="242"/>
      <c r="D249" s="254" t="s">
        <v>108</v>
      </c>
      <c r="E249" s="243"/>
      <c r="F249" s="243"/>
      <c r="G249" s="244"/>
      <c r="H249" s="258" t="s">
        <v>35</v>
      </c>
      <c r="I249" s="246"/>
      <c r="J249" s="246"/>
      <c r="K249" s="247"/>
      <c r="L249" s="247"/>
      <c r="M249" s="247"/>
      <c r="N249" s="247"/>
      <c r="O249" s="247"/>
      <c r="P249" s="247"/>
      <c r="Q249" s="247"/>
      <c r="R249" s="247"/>
      <c r="S249" s="247"/>
      <c r="T249" s="46"/>
      <c r="U249" s="46"/>
    </row>
    <row r="250" spans="1:21" ht="18.75" hidden="1" x14ac:dyDescent="0.25">
      <c r="A250" s="241"/>
      <c r="B250" s="242"/>
      <c r="C250" s="242"/>
      <c r="D250" s="259" t="s">
        <v>43</v>
      </c>
      <c r="E250" s="243"/>
      <c r="F250" s="243"/>
      <c r="G250" s="244"/>
      <c r="H250" s="244"/>
      <c r="I250" s="246"/>
      <c r="J250" s="246"/>
      <c r="K250" s="247"/>
      <c r="L250" s="247"/>
      <c r="M250" s="247"/>
      <c r="N250" s="247"/>
      <c r="O250" s="247"/>
      <c r="P250" s="247"/>
      <c r="Q250" s="247"/>
      <c r="R250" s="247"/>
      <c r="S250" s="247"/>
      <c r="T250" s="136"/>
      <c r="U250" s="136"/>
    </row>
    <row r="251" spans="1:21" ht="18.75" hidden="1" x14ac:dyDescent="0.25">
      <c r="A251" s="241"/>
      <c r="B251" s="242"/>
      <c r="C251" s="242"/>
      <c r="D251" s="242"/>
      <c r="E251" s="260" t="s">
        <v>109</v>
      </c>
      <c r="F251" s="243"/>
      <c r="G251" s="244"/>
      <c r="H251" s="258" t="s">
        <v>35</v>
      </c>
      <c r="I251" s="246"/>
      <c r="J251" s="246"/>
      <c r="K251" s="247"/>
      <c r="L251" s="247"/>
      <c r="M251" s="247"/>
      <c r="N251" s="247"/>
      <c r="O251" s="247"/>
      <c r="P251" s="247"/>
      <c r="Q251" s="247"/>
      <c r="R251" s="247"/>
      <c r="S251" s="247"/>
      <c r="T251" s="46"/>
      <c r="U251" s="46"/>
    </row>
    <row r="252" spans="1:21" ht="18.75" hidden="1" x14ac:dyDescent="0.25">
      <c r="A252" s="241"/>
      <c r="B252" s="242"/>
      <c r="C252" s="242"/>
      <c r="D252" s="242"/>
      <c r="E252" s="260" t="s">
        <v>110</v>
      </c>
      <c r="F252" s="243"/>
      <c r="G252" s="244"/>
      <c r="H252" s="258" t="s">
        <v>61</v>
      </c>
      <c r="I252" s="246"/>
      <c r="J252" s="246"/>
      <c r="K252" s="247"/>
      <c r="L252" s="247"/>
      <c r="M252" s="247"/>
      <c r="N252" s="247"/>
      <c r="O252" s="247"/>
      <c r="P252" s="247"/>
      <c r="Q252" s="247"/>
      <c r="R252" s="247"/>
      <c r="S252" s="247"/>
      <c r="T252" s="46"/>
      <c r="U252" s="46"/>
    </row>
    <row r="253" spans="1:21" ht="19.5" hidden="1" x14ac:dyDescent="0.3">
      <c r="A253" s="241"/>
      <c r="B253" s="242"/>
      <c r="C253" s="249" t="s">
        <v>112</v>
      </c>
      <c r="D253" s="243"/>
      <c r="E253" s="243"/>
      <c r="F253" s="243"/>
      <c r="G253" s="244"/>
      <c r="H253" s="250" t="s">
        <v>35</v>
      </c>
      <c r="I253" s="246"/>
      <c r="J253" s="246"/>
      <c r="K253" s="247"/>
      <c r="L253" s="247"/>
      <c r="M253" s="247"/>
      <c r="N253" s="247"/>
      <c r="O253" s="247"/>
      <c r="P253" s="247"/>
      <c r="Q253" s="247"/>
      <c r="R253" s="247"/>
      <c r="S253" s="247"/>
      <c r="T253" s="230"/>
      <c r="U253" s="230"/>
    </row>
    <row r="254" spans="1:21" ht="19.5" hidden="1" x14ac:dyDescent="0.3">
      <c r="A254" s="251"/>
      <c r="B254" s="243"/>
      <c r="C254" s="249" t="s">
        <v>18</v>
      </c>
      <c r="D254" s="257" t="s">
        <v>19</v>
      </c>
      <c r="E254" s="243"/>
      <c r="F254" s="243"/>
      <c r="G254" s="244"/>
      <c r="H254" s="253" t="s">
        <v>14</v>
      </c>
      <c r="I254" s="246"/>
      <c r="J254" s="246"/>
      <c r="K254" s="247"/>
      <c r="L254" s="247"/>
      <c r="M254" s="247"/>
      <c r="N254" s="247"/>
      <c r="O254" s="247"/>
      <c r="P254" s="247"/>
      <c r="Q254" s="247"/>
      <c r="R254" s="247"/>
      <c r="S254" s="247"/>
      <c r="T254" s="46"/>
      <c r="U254" s="46"/>
    </row>
    <row r="255" spans="1:21" ht="18.75" hidden="1" x14ac:dyDescent="0.25">
      <c r="A255" s="251"/>
      <c r="B255" s="242"/>
      <c r="C255" s="243"/>
      <c r="D255" s="254" t="s">
        <v>86</v>
      </c>
      <c r="E255" s="243"/>
      <c r="F255" s="243"/>
      <c r="G255" s="244"/>
      <c r="H255" s="255" t="s">
        <v>14</v>
      </c>
      <c r="I255" s="246"/>
      <c r="J255" s="246"/>
      <c r="K255" s="247"/>
      <c r="L255" s="247"/>
      <c r="M255" s="247"/>
      <c r="N255" s="247"/>
      <c r="O255" s="247"/>
      <c r="P255" s="247"/>
      <c r="Q255" s="247"/>
      <c r="R255" s="247"/>
      <c r="S255" s="247"/>
      <c r="T255" s="46"/>
      <c r="U255" s="46"/>
    </row>
    <row r="256" spans="1:21" ht="18.75" hidden="1" x14ac:dyDescent="0.25">
      <c r="A256" s="241"/>
      <c r="B256" s="242"/>
      <c r="C256" s="242"/>
      <c r="D256" s="254" t="s">
        <v>88</v>
      </c>
      <c r="E256" s="243"/>
      <c r="F256" s="243"/>
      <c r="G256" s="244"/>
      <c r="H256" s="255" t="s">
        <v>14</v>
      </c>
      <c r="I256" s="246"/>
      <c r="J256" s="246"/>
      <c r="K256" s="247"/>
      <c r="L256" s="247"/>
      <c r="M256" s="247"/>
      <c r="N256" s="247"/>
      <c r="O256" s="247"/>
      <c r="P256" s="247"/>
      <c r="Q256" s="247"/>
      <c r="R256" s="247"/>
      <c r="S256" s="247"/>
      <c r="T256" s="46"/>
      <c r="U256" s="46"/>
    </row>
    <row r="257" spans="1:21" ht="18.75" hidden="1" x14ac:dyDescent="0.25">
      <c r="A257" s="241"/>
      <c r="B257" s="242"/>
      <c r="C257" s="242"/>
      <c r="D257" s="254" t="s">
        <v>106</v>
      </c>
      <c r="E257" s="243"/>
      <c r="F257" s="243"/>
      <c r="G257" s="244"/>
      <c r="H257" s="255" t="s">
        <v>14</v>
      </c>
      <c r="I257" s="246"/>
      <c r="J257" s="246"/>
      <c r="K257" s="247"/>
      <c r="L257" s="247"/>
      <c r="M257" s="247"/>
      <c r="N257" s="247"/>
      <c r="O257" s="247"/>
      <c r="P257" s="247"/>
      <c r="Q257" s="247"/>
      <c r="R257" s="247"/>
      <c r="S257" s="247"/>
      <c r="T257" s="46"/>
      <c r="U257" s="46"/>
    </row>
    <row r="258" spans="1:21" ht="18.75" hidden="1" x14ac:dyDescent="0.25">
      <c r="A258" s="241"/>
      <c r="B258" s="242"/>
      <c r="C258" s="242"/>
      <c r="D258" s="254" t="s">
        <v>107</v>
      </c>
      <c r="E258" s="243"/>
      <c r="F258" s="243"/>
      <c r="G258" s="244"/>
      <c r="H258" s="255" t="s">
        <v>14</v>
      </c>
      <c r="I258" s="246"/>
      <c r="J258" s="246"/>
      <c r="K258" s="247"/>
      <c r="L258" s="247"/>
      <c r="M258" s="247"/>
      <c r="N258" s="247"/>
      <c r="O258" s="247"/>
      <c r="P258" s="247"/>
      <c r="Q258" s="247"/>
      <c r="R258" s="247"/>
      <c r="S258" s="247"/>
      <c r="T258" s="46"/>
      <c r="U258" s="46"/>
    </row>
    <row r="259" spans="1:21" ht="19.5" hidden="1" x14ac:dyDescent="0.3">
      <c r="A259" s="241"/>
      <c r="B259" s="242"/>
      <c r="C259" s="256" t="s">
        <v>18</v>
      </c>
      <c r="D259" s="257" t="s">
        <v>38</v>
      </c>
      <c r="E259" s="243"/>
      <c r="F259" s="243"/>
      <c r="G259" s="244"/>
      <c r="H259" s="244"/>
      <c r="I259" s="246"/>
      <c r="J259" s="246"/>
      <c r="K259" s="247"/>
      <c r="L259" s="247"/>
      <c r="M259" s="247"/>
      <c r="N259" s="247"/>
      <c r="O259" s="247"/>
      <c r="P259" s="247"/>
      <c r="Q259" s="247"/>
      <c r="R259" s="247"/>
      <c r="S259" s="247"/>
      <c r="T259" s="136"/>
      <c r="U259" s="136"/>
    </row>
    <row r="260" spans="1:21" ht="18.75" hidden="1" x14ac:dyDescent="0.25">
      <c r="A260" s="241"/>
      <c r="B260" s="242"/>
      <c r="C260" s="242"/>
      <c r="D260" s="254" t="s">
        <v>108</v>
      </c>
      <c r="E260" s="243"/>
      <c r="F260" s="243"/>
      <c r="G260" s="244"/>
      <c r="H260" s="258" t="s">
        <v>35</v>
      </c>
      <c r="I260" s="246"/>
      <c r="J260" s="246"/>
      <c r="K260" s="247"/>
      <c r="L260" s="247"/>
      <c r="M260" s="247"/>
      <c r="N260" s="247"/>
      <c r="O260" s="247"/>
      <c r="P260" s="247"/>
      <c r="Q260" s="247"/>
      <c r="R260" s="247"/>
      <c r="S260" s="247"/>
      <c r="T260" s="46"/>
      <c r="U260" s="46"/>
    </row>
    <row r="261" spans="1:21" ht="18.75" hidden="1" x14ac:dyDescent="0.25">
      <c r="A261" s="241"/>
      <c r="B261" s="242"/>
      <c r="C261" s="242"/>
      <c r="D261" s="259" t="s">
        <v>43</v>
      </c>
      <c r="E261" s="243"/>
      <c r="F261" s="243"/>
      <c r="G261" s="244"/>
      <c r="H261" s="244"/>
      <c r="I261" s="246"/>
      <c r="J261" s="246"/>
      <c r="K261" s="247"/>
      <c r="L261" s="247"/>
      <c r="M261" s="247"/>
      <c r="N261" s="247"/>
      <c r="O261" s="247"/>
      <c r="P261" s="247"/>
      <c r="Q261" s="247"/>
      <c r="R261" s="247"/>
      <c r="S261" s="247"/>
      <c r="T261" s="136"/>
      <c r="U261" s="136"/>
    </row>
    <row r="262" spans="1:21" ht="18.75" hidden="1" x14ac:dyDescent="0.25">
      <c r="A262" s="241"/>
      <c r="B262" s="242"/>
      <c r="C262" s="242"/>
      <c r="D262" s="242"/>
      <c r="E262" s="260" t="s">
        <v>109</v>
      </c>
      <c r="F262" s="243"/>
      <c r="G262" s="244"/>
      <c r="H262" s="258" t="s">
        <v>35</v>
      </c>
      <c r="I262" s="246"/>
      <c r="J262" s="246"/>
      <c r="K262" s="247"/>
      <c r="L262" s="247"/>
      <c r="M262" s="247"/>
      <c r="N262" s="247"/>
      <c r="O262" s="247"/>
      <c r="P262" s="247"/>
      <c r="Q262" s="247"/>
      <c r="R262" s="247"/>
      <c r="S262" s="247"/>
      <c r="T262" s="46"/>
      <c r="U262" s="46"/>
    </row>
    <row r="263" spans="1:21" ht="18.75" hidden="1" x14ac:dyDescent="0.25">
      <c r="A263" s="241"/>
      <c r="B263" s="242"/>
      <c r="C263" s="242"/>
      <c r="D263" s="242"/>
      <c r="E263" s="260" t="s">
        <v>110</v>
      </c>
      <c r="F263" s="243"/>
      <c r="G263" s="244"/>
      <c r="H263" s="258" t="s">
        <v>61</v>
      </c>
      <c r="I263" s="246"/>
      <c r="J263" s="246"/>
      <c r="K263" s="247"/>
      <c r="L263" s="247"/>
      <c r="M263" s="247"/>
      <c r="N263" s="247"/>
      <c r="O263" s="247"/>
      <c r="P263" s="247"/>
      <c r="Q263" s="247"/>
      <c r="R263" s="247"/>
      <c r="S263" s="247"/>
      <c r="T263" s="46"/>
      <c r="U263" s="46"/>
    </row>
    <row r="264" spans="1:21" ht="19.5" x14ac:dyDescent="0.3">
      <c r="A264" s="204" t="s">
        <v>113</v>
      </c>
      <c r="B264" s="205"/>
      <c r="C264" s="205"/>
      <c r="D264" s="206"/>
      <c r="E264" s="206"/>
      <c r="F264" s="206"/>
      <c r="G264" s="207"/>
      <c r="H264" s="207"/>
      <c r="I264" s="208"/>
      <c r="J264" s="208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210"/>
      <c r="B265" s="211" t="s">
        <v>114</v>
      </c>
      <c r="C265" s="212"/>
      <c r="D265" s="141"/>
      <c r="E265" s="141"/>
      <c r="F265" s="141"/>
      <c r="G265" s="142"/>
      <c r="H265" s="213" t="s">
        <v>35</v>
      </c>
      <c r="I265" s="214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14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238)</f>
        <v>238</v>
      </c>
      <c r="K265" s="215">
        <f ca="1">IF(I265&gt;0,J265*100/I265,0)</f>
        <v>77.777777777777771</v>
      </c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128"/>
      <c r="B266" s="41"/>
      <c r="C266" s="129" t="s">
        <v>18</v>
      </c>
      <c r="D266" s="130" t="s">
        <v>19</v>
      </c>
      <c r="E266" s="41"/>
      <c r="F266" s="41"/>
      <c r="G266" s="43"/>
      <c r="H266" s="131" t="s">
        <v>14</v>
      </c>
      <c r="I266" s="45"/>
      <c r="J266" s="45"/>
      <c r="K266" s="46"/>
      <c r="L266" s="132">
        <f t="shared" ref="L266:N266" ca="1" si="188">L267+L268</f>
        <v>70000</v>
      </c>
      <c r="M266" s="132">
        <f t="shared" ca="1" si="188"/>
        <v>102190</v>
      </c>
      <c r="N266" s="132">
        <f t="shared" ca="1" si="188"/>
        <v>70340</v>
      </c>
      <c r="O266" s="132">
        <f t="shared" ref="O266:O274" ca="1" si="189">IF(L266&gt;0,N266*100/L266,0)</f>
        <v>100.48571428571428</v>
      </c>
      <c r="P266" s="132">
        <f t="shared" ref="P266:P274" ca="1" si="190">IF(M266&gt;0,N266*100/M266,0)</f>
        <v>68.832566787356882</v>
      </c>
      <c r="Q266" s="132">
        <f t="shared" ref="Q266:S266" ca="1" si="191">Q267+Q268</f>
        <v>706460</v>
      </c>
      <c r="R266" s="132">
        <f t="shared" ca="1" si="191"/>
        <v>706460</v>
      </c>
      <c r="S266" s="132">
        <f t="shared" ca="1" si="191"/>
        <v>504664</v>
      </c>
      <c r="T266" s="132">
        <f t="shared" ref="T266:T274" ca="1" si="192">IF(Q266&gt;0,S266*100/Q266,0)</f>
        <v>71.435608527022055</v>
      </c>
      <c r="U266" s="132">
        <f t="shared" ref="U266:U274" ca="1" si="193">IF(R266&gt;0,S266*100/R266,0)</f>
        <v>71.435608527022055</v>
      </c>
    </row>
    <row r="267" spans="1:21" ht="18.75" hidden="1" x14ac:dyDescent="0.25">
      <c r="A267" s="128"/>
      <c r="B267" s="41"/>
      <c r="C267" s="41"/>
      <c r="D267" s="41"/>
      <c r="E267" s="48" t="s">
        <v>20</v>
      </c>
      <c r="F267" s="41"/>
      <c r="G267" s="43"/>
      <c r="H267" s="133" t="s">
        <v>14</v>
      </c>
      <c r="I267" s="45"/>
      <c r="J267" s="45"/>
      <c r="K267" s="46"/>
      <c r="L267" s="47">
        <f t="shared" ref="L267:N267" ca="1" si="194">L270+L273</f>
        <v>0</v>
      </c>
      <c r="M267" s="47">
        <f t="shared" ca="1" si="194"/>
        <v>0</v>
      </c>
      <c r="N267" s="47">
        <f t="shared" ca="1" si="194"/>
        <v>0</v>
      </c>
      <c r="O267" s="47">
        <f t="shared" ca="1" si="189"/>
        <v>0</v>
      </c>
      <c r="P267" s="47">
        <f t="shared" ca="1" si="190"/>
        <v>0</v>
      </c>
      <c r="Q267" s="47">
        <f t="shared" ref="Q267:S267" ca="1" si="195">Q270+Q273</f>
        <v>0</v>
      </c>
      <c r="R267" s="47">
        <f t="shared" ca="1" si="195"/>
        <v>0</v>
      </c>
      <c r="S267" s="47">
        <f t="shared" ca="1" si="195"/>
        <v>0</v>
      </c>
      <c r="T267" s="49">
        <f t="shared" ca="1" si="192"/>
        <v>0</v>
      </c>
      <c r="U267" s="49">
        <f t="shared" ca="1" si="193"/>
        <v>0</v>
      </c>
    </row>
    <row r="268" spans="1:21" ht="18.75" hidden="1" x14ac:dyDescent="0.25">
      <c r="A268" s="128"/>
      <c r="B268" s="41"/>
      <c r="C268" s="41"/>
      <c r="D268" s="41"/>
      <c r="E268" s="48" t="s">
        <v>21</v>
      </c>
      <c r="F268" s="41"/>
      <c r="G268" s="43"/>
      <c r="H268" s="133" t="s">
        <v>14</v>
      </c>
      <c r="I268" s="45"/>
      <c r="J268" s="45"/>
      <c r="K268" s="46"/>
      <c r="L268" s="47">
        <f t="shared" ref="L268:N268" ca="1" si="196">L271+L274</f>
        <v>70000</v>
      </c>
      <c r="M268" s="47">
        <f t="shared" ca="1" si="196"/>
        <v>102190</v>
      </c>
      <c r="N268" s="47">
        <f t="shared" ca="1" si="196"/>
        <v>70340</v>
      </c>
      <c r="O268" s="47">
        <f t="shared" ca="1" si="189"/>
        <v>100.48571428571428</v>
      </c>
      <c r="P268" s="47">
        <f t="shared" ca="1" si="190"/>
        <v>68.832566787356882</v>
      </c>
      <c r="Q268" s="47">
        <f t="shared" ref="Q268:S268" ca="1" si="197">Q271+Q274</f>
        <v>706460</v>
      </c>
      <c r="R268" s="47">
        <f t="shared" ca="1" si="197"/>
        <v>706460</v>
      </c>
      <c r="S268" s="47">
        <f t="shared" ca="1" si="197"/>
        <v>504664</v>
      </c>
      <c r="T268" s="47">
        <f t="shared" ca="1" si="192"/>
        <v>71.435608527022055</v>
      </c>
      <c r="U268" s="47">
        <f t="shared" ca="1" si="193"/>
        <v>71.435608527022055</v>
      </c>
    </row>
    <row r="269" spans="1:21" ht="18.75" x14ac:dyDescent="0.25">
      <c r="A269" s="128"/>
      <c r="B269" s="41"/>
      <c r="C269" s="41"/>
      <c r="D269" s="42" t="s">
        <v>22</v>
      </c>
      <c r="E269" s="41"/>
      <c r="F269" s="41"/>
      <c r="G269" s="43"/>
      <c r="H269" s="134" t="s">
        <v>14</v>
      </c>
      <c r="I269" s="135"/>
      <c r="J269" s="135"/>
      <c r="K269" s="136"/>
      <c r="L269" s="47">
        <f t="shared" ref="L269:N269" ca="1" si="198">L270+L271</f>
        <v>70000</v>
      </c>
      <c r="M269" s="47">
        <f t="shared" ca="1" si="198"/>
        <v>102190</v>
      </c>
      <c r="N269" s="47">
        <f t="shared" ca="1" si="198"/>
        <v>70340</v>
      </c>
      <c r="O269" s="47">
        <f t="shared" ca="1" si="189"/>
        <v>100.48571428571428</v>
      </c>
      <c r="P269" s="47">
        <f t="shared" ca="1" si="190"/>
        <v>68.832566787356882</v>
      </c>
      <c r="Q269" s="47">
        <f t="shared" ref="Q269:S269" ca="1" si="199">Q270+Q271</f>
        <v>706460</v>
      </c>
      <c r="R269" s="47">
        <f t="shared" ca="1" si="199"/>
        <v>706460</v>
      </c>
      <c r="S269" s="47">
        <f t="shared" ca="1" si="199"/>
        <v>504664</v>
      </c>
      <c r="T269" s="47">
        <f t="shared" ca="1" si="192"/>
        <v>71.435608527022055</v>
      </c>
      <c r="U269" s="47">
        <f t="shared" ca="1" si="193"/>
        <v>71.435608527022055</v>
      </c>
    </row>
    <row r="270" spans="1:21" ht="18.75" hidden="1" x14ac:dyDescent="0.25">
      <c r="A270" s="128"/>
      <c r="B270" s="41"/>
      <c r="C270" s="41"/>
      <c r="D270" s="41"/>
      <c r="E270" s="48" t="s">
        <v>36</v>
      </c>
      <c r="F270" s="41"/>
      <c r="G270" s="43"/>
      <c r="H270" s="134" t="s">
        <v>14</v>
      </c>
      <c r="I270" s="135"/>
      <c r="J270" s="135"/>
      <c r="K270" s="136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189"/>
        <v>0</v>
      </c>
      <c r="P270" s="47">
        <f t="shared" ca="1" si="190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192"/>
        <v>0</v>
      </c>
      <c r="U270" s="49">
        <f t="shared" ca="1" si="193"/>
        <v>0</v>
      </c>
    </row>
    <row r="271" spans="1:21" ht="18.75" hidden="1" x14ac:dyDescent="0.25">
      <c r="A271" s="128"/>
      <c r="B271" s="41"/>
      <c r="C271" s="41"/>
      <c r="D271" s="41"/>
      <c r="E271" s="48" t="s">
        <v>37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70000)</f>
        <v>70000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70340)</f>
        <v>70340</v>
      </c>
      <c r="O271" s="47">
        <f t="shared" ca="1" si="189"/>
        <v>100.48571428571428</v>
      </c>
      <c r="P271" s="47">
        <f t="shared" ca="1" si="190"/>
        <v>68.832566787356882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504664)</f>
        <v>504664</v>
      </c>
      <c r="T271" s="47">
        <f t="shared" ca="1" si="192"/>
        <v>71.435608527022055</v>
      </c>
      <c r="U271" s="47">
        <f t="shared" ca="1" si="193"/>
        <v>71.435608527022055</v>
      </c>
    </row>
    <row r="272" spans="1:21" ht="18.75" x14ac:dyDescent="0.25">
      <c r="A272" s="128"/>
      <c r="B272" s="41"/>
      <c r="C272" s="41"/>
      <c r="D272" s="42" t="s">
        <v>23</v>
      </c>
      <c r="E272" s="41"/>
      <c r="F272" s="41"/>
      <c r="G272" s="43"/>
      <c r="H272" s="137" t="s">
        <v>14</v>
      </c>
      <c r="I272" s="135"/>
      <c r="J272" s="135"/>
      <c r="K272" s="136"/>
      <c r="L272" s="47">
        <f t="shared" ref="L272:N272" ca="1" si="200">L273+L274</f>
        <v>0</v>
      </c>
      <c r="M272" s="47">
        <f t="shared" ca="1" si="200"/>
        <v>0</v>
      </c>
      <c r="N272" s="47">
        <f t="shared" ca="1" si="200"/>
        <v>0</v>
      </c>
      <c r="O272" s="47">
        <f t="shared" ca="1" si="189"/>
        <v>0</v>
      </c>
      <c r="P272" s="47">
        <f t="shared" ca="1" si="190"/>
        <v>0</v>
      </c>
      <c r="Q272" s="47">
        <f t="shared" ref="Q272:S272" ca="1" si="201">Q273+Q274</f>
        <v>0</v>
      </c>
      <c r="R272" s="47">
        <f t="shared" ca="1" si="201"/>
        <v>0</v>
      </c>
      <c r="S272" s="47">
        <f t="shared" ca="1" si="201"/>
        <v>0</v>
      </c>
      <c r="T272" s="47">
        <f t="shared" ca="1" si="192"/>
        <v>0</v>
      </c>
      <c r="U272" s="47">
        <f t="shared" ca="1" si="193"/>
        <v>0</v>
      </c>
    </row>
    <row r="273" spans="1:21" ht="18.75" hidden="1" x14ac:dyDescent="0.25">
      <c r="A273" s="128"/>
      <c r="B273" s="41"/>
      <c r="C273" s="41"/>
      <c r="D273" s="41"/>
      <c r="E273" s="48" t="s">
        <v>20</v>
      </c>
      <c r="F273" s="41"/>
      <c r="G273" s="43"/>
      <c r="H273" s="134" t="s">
        <v>14</v>
      </c>
      <c r="I273" s="135"/>
      <c r="J273" s="135"/>
      <c r="K273" s="136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189"/>
        <v>0</v>
      </c>
      <c r="P273" s="47">
        <f t="shared" ca="1" si="190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192"/>
        <v>0</v>
      </c>
      <c r="U273" s="49">
        <f t="shared" ca="1" si="193"/>
        <v>0</v>
      </c>
    </row>
    <row r="274" spans="1:21" ht="18.75" hidden="1" x14ac:dyDescent="0.25">
      <c r="A274" s="128"/>
      <c r="B274" s="41"/>
      <c r="C274" s="41"/>
      <c r="D274" s="41"/>
      <c r="E274" s="48" t="s">
        <v>21</v>
      </c>
      <c r="F274" s="41"/>
      <c r="G274" s="43"/>
      <c r="H274" s="137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189"/>
        <v>0</v>
      </c>
      <c r="P274" s="47">
        <f t="shared" ca="1" si="190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192"/>
        <v>0</v>
      </c>
      <c r="U274" s="47">
        <f t="shared" ca="1" si="193"/>
        <v>0</v>
      </c>
    </row>
    <row r="275" spans="1:21" ht="19.5" x14ac:dyDescent="0.3">
      <c r="A275" s="138"/>
      <c r="B275" s="139"/>
      <c r="C275" s="48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61"/>
      <c r="B276" s="159"/>
      <c r="C276" s="159"/>
      <c r="D276" s="262" t="s">
        <v>115</v>
      </c>
      <c r="E276" s="41"/>
      <c r="F276" s="41"/>
      <c r="G276" s="43"/>
      <c r="H276" s="133" t="s">
        <v>35</v>
      </c>
      <c r="I276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238)</f>
        <v>238</v>
      </c>
      <c r="K276" s="47">
        <f ca="1">IF(I276&gt;0,J276*100/I276,0)</f>
        <v>77.777777777777771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265" t="s">
        <v>116</v>
      </c>
      <c r="E277" s="266"/>
      <c r="F277" s="266"/>
      <c r="G277" s="267"/>
      <c r="H277" s="54" t="s">
        <v>35</v>
      </c>
      <c r="I277" s="197">
        <v>0</v>
      </c>
      <c r="J277" s="197">
        <v>0</v>
      </c>
      <c r="K277" s="268">
        <v>0</v>
      </c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t="shared" ref="I280:J280" ca="1" si="202">I293</f>
        <v>10</v>
      </c>
      <c r="J280" s="288">
        <f t="shared" ca="1" si="202"/>
        <v>10</v>
      </c>
      <c r="K280" s="289">
        <f t="shared" ref="K280:K281" ca="1" si="203">IF(I280&gt;0,J280*100/I280,0)</f>
        <v>100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t="shared" ref="I281:J281" ca="1" si="204">I292</f>
        <v>100</v>
      </c>
      <c r="J281" s="288">
        <f t="shared" ca="1" si="204"/>
        <v>100</v>
      </c>
      <c r="K281" s="289">
        <f t="shared" ca="1" si="203"/>
        <v>100</v>
      </c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13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132">
        <f t="shared" ref="L282:N282" ca="1" si="205">L283+L284</f>
        <v>415220</v>
      </c>
      <c r="M282" s="132">
        <f t="shared" ca="1" si="205"/>
        <v>428150</v>
      </c>
      <c r="N282" s="132">
        <f t="shared" ca="1" si="205"/>
        <v>353110.83</v>
      </c>
      <c r="O282" s="132">
        <f t="shared" ref="O282:O290" ca="1" si="206">IF(L282&gt;0,N282*100/L282,0)</f>
        <v>85.041864553730548</v>
      </c>
      <c r="P282" s="132">
        <f t="shared" ref="P282:P290" ca="1" si="207">IF(M282&gt;0,N282*100/M282,0)</f>
        <v>82.473626065631208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48" t="s">
        <v>20</v>
      </c>
      <c r="F283" s="41"/>
      <c r="G283" s="43"/>
      <c r="H283" s="133" t="s">
        <v>14</v>
      </c>
      <c r="I283" s="45"/>
      <c r="J283" s="45"/>
      <c r="K283" s="46"/>
      <c r="L283" s="47">
        <f t="shared" ref="L283:N283" ca="1" si="211">L286+L289</f>
        <v>0</v>
      </c>
      <c r="M283" s="47">
        <f t="shared" ca="1" si="211"/>
        <v>0</v>
      </c>
      <c r="N283" s="47">
        <f t="shared" ca="1" si="211"/>
        <v>0</v>
      </c>
      <c r="O283" s="47">
        <f t="shared" ca="1" si="206"/>
        <v>0</v>
      </c>
      <c r="P283" s="47">
        <f t="shared" ca="1" si="207"/>
        <v>0</v>
      </c>
      <c r="Q283" s="47">
        <f t="shared" ref="Q283:S283" ca="1" si="212">Q286+Q289</f>
        <v>0</v>
      </c>
      <c r="R283" s="47">
        <f t="shared" ca="1" si="212"/>
        <v>0</v>
      </c>
      <c r="S283" s="47">
        <f t="shared" ca="1" si="212"/>
        <v>0</v>
      </c>
      <c r="T283" s="49">
        <f t="shared" ca="1" si="209"/>
        <v>0</v>
      </c>
      <c r="U283" s="49">
        <f t="shared" ca="1" si="210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7">
        <f t="shared" ref="L284:N284" ca="1" si="213">L287+L290</f>
        <v>415220</v>
      </c>
      <c r="M284" s="47">
        <f t="shared" ca="1" si="213"/>
        <v>428150</v>
      </c>
      <c r="N284" s="47">
        <f t="shared" ca="1" si="213"/>
        <v>353110.83</v>
      </c>
      <c r="O284" s="47">
        <f t="shared" ca="1" si="206"/>
        <v>85.041864553730548</v>
      </c>
      <c r="P284" s="47">
        <f t="shared" ca="1" si="207"/>
        <v>82.473626065631208</v>
      </c>
      <c r="Q284" s="47">
        <f t="shared" ref="Q284:S284" ca="1" si="214">Q287+Q290</f>
        <v>0</v>
      </c>
      <c r="R284" s="47">
        <f t="shared" ca="1" si="214"/>
        <v>0</v>
      </c>
      <c r="S284" s="47">
        <f t="shared" ca="1" si="214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7">
        <f t="shared" ref="L285:N285" ca="1" si="215">L286+L287</f>
        <v>415220</v>
      </c>
      <c r="M285" s="47">
        <f t="shared" ca="1" si="215"/>
        <v>428150</v>
      </c>
      <c r="N285" s="47">
        <f t="shared" ca="1" si="215"/>
        <v>353110.83</v>
      </c>
      <c r="O285" s="47">
        <f t="shared" ca="1" si="206"/>
        <v>85.041864553730548</v>
      </c>
      <c r="P285" s="47">
        <f t="shared" ca="1" si="207"/>
        <v>82.473626065631208</v>
      </c>
      <c r="Q285" s="47">
        <f t="shared" ref="Q285:S285" ca="1" si="216">Q286+Q287</f>
        <v>0</v>
      </c>
      <c r="R285" s="47">
        <f t="shared" ca="1" si="216"/>
        <v>0</v>
      </c>
      <c r="S285" s="47">
        <f t="shared" ca="1" si="216"/>
        <v>0</v>
      </c>
      <c r="T285" s="47">
        <f t="shared" ca="1" si="209"/>
        <v>0</v>
      </c>
      <c r="U285" s="47">
        <f t="shared" ca="1" si="210"/>
        <v>0</v>
      </c>
    </row>
    <row r="286" spans="1:21" ht="18.75" hidden="1" x14ac:dyDescent="0.25">
      <c r="A286" s="128"/>
      <c r="B286" s="41"/>
      <c r="C286" s="41"/>
      <c r="D286" s="41"/>
      <c r="E286" s="48" t="s">
        <v>36</v>
      </c>
      <c r="F286" s="41"/>
      <c r="G286" s="43"/>
      <c r="H286" s="134" t="s">
        <v>14</v>
      </c>
      <c r="I286" s="135"/>
      <c r="J286" s="135"/>
      <c r="K286" s="136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206"/>
        <v>0</v>
      </c>
      <c r="P286" s="47">
        <f t="shared" ca="1" si="207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209"/>
        <v>0</v>
      </c>
      <c r="U286" s="49">
        <f t="shared" ca="1" si="210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415220)</f>
        <v>415220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428150)</f>
        <v>428150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353110.83)</f>
        <v>353110.83</v>
      </c>
      <c r="O287" s="47">
        <f t="shared" ca="1" si="206"/>
        <v>85.041864553730548</v>
      </c>
      <c r="P287" s="47">
        <f t="shared" ca="1" si="207"/>
        <v>82.473626065631208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209"/>
        <v>0</v>
      </c>
      <c r="U287" s="49">
        <f t="shared" ca="1" si="210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7">
        <f t="shared" ref="L288:N288" ca="1" si="217">L289+L290</f>
        <v>0</v>
      </c>
      <c r="M288" s="47">
        <f t="shared" ca="1" si="217"/>
        <v>0</v>
      </c>
      <c r="N288" s="47">
        <f t="shared" ca="1" si="217"/>
        <v>0</v>
      </c>
      <c r="O288" s="47">
        <f t="shared" ca="1" si="206"/>
        <v>0</v>
      </c>
      <c r="P288" s="47">
        <f t="shared" ca="1" si="207"/>
        <v>0</v>
      </c>
      <c r="Q288" s="47">
        <f t="shared" ref="Q288:S288" ca="1" si="218">Q289+Q290</f>
        <v>0</v>
      </c>
      <c r="R288" s="47">
        <f t="shared" ca="1" si="218"/>
        <v>0</v>
      </c>
      <c r="S288" s="47">
        <f t="shared" ca="1" si="218"/>
        <v>0</v>
      </c>
      <c r="T288" s="47">
        <f t="shared" ca="1" si="209"/>
        <v>0</v>
      </c>
      <c r="U288" s="47">
        <f t="shared" ca="1" si="210"/>
        <v>0</v>
      </c>
    </row>
    <row r="289" spans="1:21" ht="18.75" hidden="1" x14ac:dyDescent="0.25">
      <c r="A289" s="128"/>
      <c r="B289" s="41"/>
      <c r="C289" s="41"/>
      <c r="D289" s="41"/>
      <c r="E289" s="48" t="s">
        <v>20</v>
      </c>
      <c r="F289" s="41"/>
      <c r="G289" s="43"/>
      <c r="H289" s="134" t="s">
        <v>14</v>
      </c>
      <c r="I289" s="135"/>
      <c r="J289" s="135"/>
      <c r="K289" s="136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206"/>
        <v>0</v>
      </c>
      <c r="P289" s="47">
        <f t="shared" ca="1" si="207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209"/>
        <v>0</v>
      </c>
      <c r="U289" s="49">
        <f t="shared" ca="1" si="210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206"/>
        <v>0</v>
      </c>
      <c r="P290" s="47">
        <f t="shared" ca="1" si="207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209"/>
        <v>0</v>
      </c>
      <c r="U290" s="47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3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8">
        <f t="shared" ca="1" si="219"/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3">
        <f t="shared" ref="K295:K296" ca="1" si="220">IF(I295&gt;0,J295*100/I295,0)</f>
        <v>100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3">
        <f t="shared" ca="1" si="220"/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t="shared" ref="I302:J302" ca="1" si="221">I314</f>
        <v>235</v>
      </c>
      <c r="J302" s="310">
        <f t="shared" ca="1" si="221"/>
        <v>135</v>
      </c>
      <c r="K302" s="311">
        <f ca="1">IF(I302&gt;0,J302*100/I302,0)</f>
        <v>57.446808510638299</v>
      </c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13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132">
        <f t="shared" ref="L303:N303" ca="1" si="222">L304+L305</f>
        <v>426975</v>
      </c>
      <c r="M303" s="132">
        <f t="shared" ca="1" si="222"/>
        <v>426975</v>
      </c>
      <c r="N303" s="132">
        <f t="shared" ca="1" si="222"/>
        <v>341017.64</v>
      </c>
      <c r="O303" s="132">
        <f t="shared" ref="O303:O311" ca="1" si="223">IF(L303&gt;0,N303*100/L303,0)</f>
        <v>79.868292054569935</v>
      </c>
      <c r="P303" s="132">
        <f t="shared" ref="P303:P311" ca="1" si="224">IF(M303&gt;0,N303*100/M303,0)</f>
        <v>79.868292054569935</v>
      </c>
      <c r="Q303" s="132">
        <f t="shared" ref="Q303:S303" ca="1" si="225">Q304+Q305</f>
        <v>2086950.07</v>
      </c>
      <c r="R303" s="132">
        <f t="shared" ca="1" si="225"/>
        <v>2086948</v>
      </c>
      <c r="S303" s="132">
        <f t="shared" ca="1" si="225"/>
        <v>582244</v>
      </c>
      <c r="T303" s="132">
        <f t="shared" ref="T303:T311" ca="1" si="226">IF(Q303&gt;0,S303*100/Q303,0)</f>
        <v>27.899277916121875</v>
      </c>
      <c r="U303" s="132">
        <f t="shared" ref="U303:U311" ca="1" si="227">IF(R303&gt;0,S303*100/R303,0)</f>
        <v>27.899305588831155</v>
      </c>
    </row>
    <row r="304" spans="1:21" ht="18.75" hidden="1" x14ac:dyDescent="0.25">
      <c r="A304" s="128"/>
      <c r="B304" s="41"/>
      <c r="C304" s="41"/>
      <c r="D304" s="41"/>
      <c r="E304" s="48" t="s">
        <v>20</v>
      </c>
      <c r="F304" s="41"/>
      <c r="G304" s="43"/>
      <c r="H304" s="133" t="s">
        <v>14</v>
      </c>
      <c r="I304" s="45"/>
      <c r="J304" s="45"/>
      <c r="K304" s="46"/>
      <c r="L304" s="47">
        <f t="shared" ref="L304:N304" ca="1" si="228">L307+L310</f>
        <v>0</v>
      </c>
      <c r="M304" s="47">
        <f t="shared" ca="1" si="228"/>
        <v>0</v>
      </c>
      <c r="N304" s="47">
        <f t="shared" ca="1" si="228"/>
        <v>0</v>
      </c>
      <c r="O304" s="47">
        <f t="shared" ca="1" si="223"/>
        <v>0</v>
      </c>
      <c r="P304" s="47">
        <f t="shared" ca="1" si="224"/>
        <v>0</v>
      </c>
      <c r="Q304" s="47">
        <f t="shared" ref="Q304:S304" ca="1" si="229">Q307+Q310</f>
        <v>0</v>
      </c>
      <c r="R304" s="47">
        <f t="shared" ca="1" si="229"/>
        <v>0</v>
      </c>
      <c r="S304" s="47">
        <f t="shared" ca="1" si="229"/>
        <v>0</v>
      </c>
      <c r="T304" s="49">
        <f t="shared" ca="1" si="226"/>
        <v>0</v>
      </c>
      <c r="U304" s="49">
        <f t="shared" ca="1" si="227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7">
        <f t="shared" ref="L305:N305" ca="1" si="230">L308+L311</f>
        <v>426975</v>
      </c>
      <c r="M305" s="47">
        <f t="shared" ca="1" si="230"/>
        <v>426975</v>
      </c>
      <c r="N305" s="47">
        <f t="shared" ca="1" si="230"/>
        <v>341017.64</v>
      </c>
      <c r="O305" s="47">
        <f t="shared" ca="1" si="223"/>
        <v>79.868292054569935</v>
      </c>
      <c r="P305" s="47">
        <f t="shared" ca="1" si="224"/>
        <v>79.868292054569935</v>
      </c>
      <c r="Q305" s="47">
        <f t="shared" ref="Q305:S305" ca="1" si="231">Q308+Q311</f>
        <v>2086950.07</v>
      </c>
      <c r="R305" s="47">
        <f t="shared" ca="1" si="231"/>
        <v>2086948</v>
      </c>
      <c r="S305" s="47">
        <f t="shared" ca="1" si="231"/>
        <v>582244</v>
      </c>
      <c r="T305" s="47">
        <f t="shared" ca="1" si="226"/>
        <v>27.899277916121875</v>
      </c>
      <c r="U305" s="47">
        <f t="shared" ca="1" si="227"/>
        <v>27.899305588831155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7">
        <f t="shared" ref="L306:N306" ca="1" si="232">L307+L308</f>
        <v>426975</v>
      </c>
      <c r="M306" s="47">
        <f t="shared" ca="1" si="232"/>
        <v>426975</v>
      </c>
      <c r="N306" s="47">
        <f t="shared" ca="1" si="232"/>
        <v>341017.64</v>
      </c>
      <c r="O306" s="47">
        <f t="shared" ca="1" si="223"/>
        <v>79.868292054569935</v>
      </c>
      <c r="P306" s="47">
        <f t="shared" ca="1" si="224"/>
        <v>79.868292054569935</v>
      </c>
      <c r="Q306" s="47">
        <f t="shared" ref="Q306:S306" ca="1" si="233">Q307+Q308</f>
        <v>2086950.07</v>
      </c>
      <c r="R306" s="47">
        <f t="shared" ca="1" si="233"/>
        <v>2086948</v>
      </c>
      <c r="S306" s="47">
        <f t="shared" ca="1" si="233"/>
        <v>582244</v>
      </c>
      <c r="T306" s="47">
        <f t="shared" ca="1" si="226"/>
        <v>27.899277916121875</v>
      </c>
      <c r="U306" s="47">
        <f t="shared" ca="1" si="227"/>
        <v>27.899305588831155</v>
      </c>
    </row>
    <row r="307" spans="1:21" ht="18.75" hidden="1" x14ac:dyDescent="0.25">
      <c r="A307" s="128"/>
      <c r="B307" s="41"/>
      <c r="C307" s="41"/>
      <c r="D307" s="41"/>
      <c r="E307" s="48" t="s">
        <v>36</v>
      </c>
      <c r="F307" s="41"/>
      <c r="G307" s="43"/>
      <c r="H307" s="134" t="s">
        <v>14</v>
      </c>
      <c r="I307" s="135"/>
      <c r="J307" s="135"/>
      <c r="K307" s="136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223"/>
        <v>0</v>
      </c>
      <c r="P307" s="47">
        <f t="shared" ca="1" si="224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226"/>
        <v>0</v>
      </c>
      <c r="U307" s="49">
        <f t="shared" ca="1" si="227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426975)</f>
        <v>426975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426975)</f>
        <v>426975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341017.64)</f>
        <v>341017.64</v>
      </c>
      <c r="O308" s="47">
        <f t="shared" ca="1" si="223"/>
        <v>79.868292054569935</v>
      </c>
      <c r="P308" s="47">
        <f t="shared" ca="1" si="224"/>
        <v>79.868292054569935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582244)</f>
        <v>582244</v>
      </c>
      <c r="T308" s="47">
        <f t="shared" ca="1" si="226"/>
        <v>27.899277916121875</v>
      </c>
      <c r="U308" s="47">
        <f t="shared" ca="1" si="227"/>
        <v>27.899305588831155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7">
        <f t="shared" ref="L309:N309" ca="1" si="234">L310+L311</f>
        <v>0</v>
      </c>
      <c r="M309" s="47">
        <f t="shared" ca="1" si="234"/>
        <v>0</v>
      </c>
      <c r="N309" s="47">
        <f t="shared" ca="1" si="234"/>
        <v>0</v>
      </c>
      <c r="O309" s="47">
        <f t="shared" ca="1" si="223"/>
        <v>0</v>
      </c>
      <c r="P309" s="47">
        <f t="shared" ca="1" si="224"/>
        <v>0</v>
      </c>
      <c r="Q309" s="47">
        <f t="shared" ref="Q309:S309" ca="1" si="235">Q310+Q311</f>
        <v>0</v>
      </c>
      <c r="R309" s="47">
        <f t="shared" ca="1" si="235"/>
        <v>0</v>
      </c>
      <c r="S309" s="47">
        <f t="shared" ca="1" si="235"/>
        <v>0</v>
      </c>
      <c r="T309" s="47">
        <f t="shared" ca="1" si="226"/>
        <v>0</v>
      </c>
      <c r="U309" s="47">
        <f t="shared" ca="1" si="227"/>
        <v>0</v>
      </c>
    </row>
    <row r="310" spans="1:21" ht="18.75" hidden="1" x14ac:dyDescent="0.25">
      <c r="A310" s="128"/>
      <c r="B310" s="41"/>
      <c r="C310" s="41"/>
      <c r="D310" s="41"/>
      <c r="E310" s="48" t="s">
        <v>20</v>
      </c>
      <c r="F310" s="41"/>
      <c r="G310" s="43"/>
      <c r="H310" s="134" t="s">
        <v>14</v>
      </c>
      <c r="I310" s="135"/>
      <c r="J310" s="135"/>
      <c r="K310" s="136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223"/>
        <v>0</v>
      </c>
      <c r="P310" s="47">
        <f t="shared" ca="1" si="224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226"/>
        <v>0</v>
      </c>
      <c r="U310" s="49">
        <f t="shared" ca="1" si="227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223"/>
        <v>0</v>
      </c>
      <c r="P311" s="47">
        <f t="shared" ca="1" si="224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226"/>
        <v>0</v>
      </c>
      <c r="U311" s="47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5"/>
      <c r="J313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135)</f>
        <v>135</v>
      </c>
      <c r="K314" s="47">
        <f t="shared" ref="K314:K317" ca="1" si="236">IF(I314&gt;0,J314*100/I314,0)</f>
        <v>57.446808510638299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t="shared" ca="1" si="236"/>
        <v>0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t="shared" ca="1" si="236"/>
        <v>0</v>
      </c>
      <c r="L316" s="46"/>
      <c r="M316" s="46"/>
      <c r="N316" s="46"/>
      <c r="O316" s="46"/>
      <c r="P316" s="46"/>
      <c r="Q316" s="46"/>
      <c r="R316" s="46"/>
      <c r="S316" s="46"/>
      <c r="T316" s="46"/>
      <c r="U316" s="46"/>
    </row>
    <row r="317" spans="1:21" ht="18.75" x14ac:dyDescent="0.25">
      <c r="A317" s="217"/>
      <c r="B317" s="159"/>
      <c r="C317" s="159"/>
      <c r="D317" s="48" t="s">
        <v>130</v>
      </c>
      <c r="E317" s="41"/>
      <c r="F317" s="41"/>
      <c r="G317" s="43"/>
      <c r="H317" s="44" t="s">
        <v>35</v>
      </c>
      <c r="I317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t="shared" ca="1" si="236"/>
        <v>0</v>
      </c>
      <c r="L317" s="46"/>
      <c r="M317" s="46"/>
      <c r="N317" s="46"/>
      <c r="O317" s="46"/>
      <c r="P317" s="46"/>
      <c r="Q317" s="46"/>
      <c r="R317" s="46"/>
      <c r="S317" s="46"/>
      <c r="T317" s="46"/>
      <c r="U317" s="46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t="shared" ref="I319:J319" ca="1" si="237">I330</f>
        <v>5</v>
      </c>
      <c r="J319" s="310">
        <f t="shared" ca="1" si="237"/>
        <v>3</v>
      </c>
      <c r="K319" s="311">
        <f ca="1">IF(I319&gt;0,J319*100/I319,0)</f>
        <v>60</v>
      </c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13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132">
        <f t="shared" ref="L320:N320" ca="1" si="238">L321+L322</f>
        <v>5097000</v>
      </c>
      <c r="M320" s="132">
        <f t="shared" ca="1" si="238"/>
        <v>4883800</v>
      </c>
      <c r="N320" s="132">
        <f t="shared" ca="1" si="238"/>
        <v>4582359.34</v>
      </c>
      <c r="O320" s="132">
        <f t="shared" ref="O320:O328" ca="1" si="239">IF(L320&gt;0,N320*100/L320,0)</f>
        <v>89.903067294486959</v>
      </c>
      <c r="P320" s="132">
        <f t="shared" ref="P320:P328" ca="1" si="240">IF(M320&gt;0,N320*100/M320,0)</f>
        <v>93.827743560342356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48" t="s">
        <v>20</v>
      </c>
      <c r="F321" s="41"/>
      <c r="G321" s="43"/>
      <c r="H321" s="133" t="s">
        <v>14</v>
      </c>
      <c r="I321" s="45"/>
      <c r="J321" s="45"/>
      <c r="K321" s="46"/>
      <c r="L321" s="47">
        <f t="shared" ref="L321:N321" ca="1" si="244">L324+L327</f>
        <v>0</v>
      </c>
      <c r="M321" s="47">
        <f t="shared" ca="1" si="244"/>
        <v>0</v>
      </c>
      <c r="N321" s="47">
        <f t="shared" ca="1" si="244"/>
        <v>0</v>
      </c>
      <c r="O321" s="47">
        <f t="shared" ca="1" si="239"/>
        <v>0</v>
      </c>
      <c r="P321" s="47">
        <f t="shared" ca="1" si="240"/>
        <v>0</v>
      </c>
      <c r="Q321" s="47">
        <f t="shared" ref="Q321:S321" ca="1" si="245">Q324+Q327</f>
        <v>0</v>
      </c>
      <c r="R321" s="47">
        <f t="shared" ca="1" si="245"/>
        <v>0</v>
      </c>
      <c r="S321" s="47">
        <f t="shared" ca="1" si="245"/>
        <v>0</v>
      </c>
      <c r="T321" s="49">
        <f t="shared" ca="1" si="242"/>
        <v>0</v>
      </c>
      <c r="U321" s="49">
        <f t="shared" ca="1" si="243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7">
        <f t="shared" ref="L322:N322" ca="1" si="246">L325+L328</f>
        <v>5097000</v>
      </c>
      <c r="M322" s="47">
        <f t="shared" ca="1" si="246"/>
        <v>4883800</v>
      </c>
      <c r="N322" s="47">
        <f t="shared" ca="1" si="246"/>
        <v>4582359.34</v>
      </c>
      <c r="O322" s="47">
        <f t="shared" ca="1" si="239"/>
        <v>89.903067294486959</v>
      </c>
      <c r="P322" s="47">
        <f t="shared" ca="1" si="240"/>
        <v>93.827743560342356</v>
      </c>
      <c r="Q322" s="47">
        <f t="shared" ref="Q322:S322" ca="1" si="247">Q325+Q328</f>
        <v>0</v>
      </c>
      <c r="R322" s="47">
        <f t="shared" ca="1" si="247"/>
        <v>0</v>
      </c>
      <c r="S322" s="47">
        <f t="shared" ca="1" si="247"/>
        <v>0</v>
      </c>
      <c r="T322" s="47">
        <f t="shared" ca="1" si="242"/>
        <v>0</v>
      </c>
      <c r="U322" s="47">
        <f t="shared" ca="1" si="243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7">
        <f t="shared" ref="L323:N323" ca="1" si="248">L324+L325</f>
        <v>610000</v>
      </c>
      <c r="M323" s="47">
        <f t="shared" ca="1" si="248"/>
        <v>610000</v>
      </c>
      <c r="N323" s="47">
        <f t="shared" ca="1" si="248"/>
        <v>308559.34000000003</v>
      </c>
      <c r="O323" s="47">
        <f t="shared" ca="1" si="239"/>
        <v>50.583498360655746</v>
      </c>
      <c r="P323" s="47">
        <f t="shared" ca="1" si="240"/>
        <v>50.583498360655746</v>
      </c>
      <c r="Q323" s="47">
        <f t="shared" ref="Q323:S323" ca="1" si="249">Q324+Q325</f>
        <v>0</v>
      </c>
      <c r="R323" s="47">
        <f t="shared" ca="1" si="249"/>
        <v>0</v>
      </c>
      <c r="S323" s="47">
        <f t="shared" ca="1" si="249"/>
        <v>0</v>
      </c>
      <c r="T323" s="47">
        <f t="shared" ca="1" si="242"/>
        <v>0</v>
      </c>
      <c r="U323" s="47">
        <f t="shared" ca="1" si="243"/>
        <v>0</v>
      </c>
    </row>
    <row r="324" spans="1:21" ht="18.75" hidden="1" x14ac:dyDescent="0.25">
      <c r="A324" s="128"/>
      <c r="B324" s="41"/>
      <c r="C324" s="41"/>
      <c r="D324" s="41"/>
      <c r="E324" s="48" t="s">
        <v>36</v>
      </c>
      <c r="F324" s="41"/>
      <c r="G324" s="43"/>
      <c r="H324" s="134" t="s">
        <v>14</v>
      </c>
      <c r="I324" s="135"/>
      <c r="J324" s="135"/>
      <c r="K324" s="136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239"/>
        <v>0</v>
      </c>
      <c r="P324" s="47">
        <f t="shared" ca="1" si="240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242"/>
        <v>0</v>
      </c>
      <c r="U324" s="49">
        <f t="shared" ca="1" si="243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610000)</f>
        <v>610000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610000)</f>
        <v>610000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308559.34)</f>
        <v>308559.34000000003</v>
      </c>
      <c r="O325" s="47">
        <f t="shared" ca="1" si="239"/>
        <v>50.583498360655746</v>
      </c>
      <c r="P325" s="47">
        <f t="shared" ca="1" si="240"/>
        <v>50.583498360655746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242"/>
        <v>0</v>
      </c>
      <c r="U325" s="47">
        <f t="shared" ca="1" si="243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7">
        <f t="shared" ref="L326:N326" ca="1" si="250">L327+L328</f>
        <v>4487000</v>
      </c>
      <c r="M326" s="47">
        <f t="shared" ca="1" si="250"/>
        <v>4273800</v>
      </c>
      <c r="N326" s="47">
        <f t="shared" ca="1" si="250"/>
        <v>4273800</v>
      </c>
      <c r="O326" s="47">
        <f t="shared" ca="1" si="239"/>
        <v>95.248495654111878</v>
      </c>
      <c r="P326" s="47">
        <f t="shared" ca="1" si="240"/>
        <v>100</v>
      </c>
      <c r="Q326" s="47">
        <f t="shared" ref="Q326:S326" ca="1" si="251">Q327+Q328</f>
        <v>0</v>
      </c>
      <c r="R326" s="47">
        <f t="shared" ca="1" si="251"/>
        <v>0</v>
      </c>
      <c r="S326" s="47">
        <f t="shared" ca="1" si="251"/>
        <v>0</v>
      </c>
      <c r="T326" s="47">
        <f t="shared" ca="1" si="242"/>
        <v>0</v>
      </c>
      <c r="U326" s="47">
        <f t="shared" ca="1" si="243"/>
        <v>0</v>
      </c>
    </row>
    <row r="327" spans="1:21" ht="18.75" hidden="1" x14ac:dyDescent="0.25">
      <c r="A327" s="128"/>
      <c r="B327" s="41"/>
      <c r="C327" s="41"/>
      <c r="D327" s="41"/>
      <c r="E327" s="48" t="s">
        <v>20</v>
      </c>
      <c r="F327" s="41"/>
      <c r="G327" s="43"/>
      <c r="H327" s="134" t="s">
        <v>14</v>
      </c>
      <c r="I327" s="135"/>
      <c r="J327" s="135"/>
      <c r="K327" s="136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239"/>
        <v>0</v>
      </c>
      <c r="P327" s="47">
        <f t="shared" ca="1" si="240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242"/>
        <v>0</v>
      </c>
      <c r="U327" s="49">
        <f t="shared" ca="1" si="243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4487000)</f>
        <v>4487000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4273800)</f>
        <v>4273800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4273800)</f>
        <v>4273800</v>
      </c>
      <c r="O328" s="47">
        <f t="shared" ca="1" si="239"/>
        <v>95.248495654111878</v>
      </c>
      <c r="P328" s="47">
        <f t="shared" ca="1" si="240"/>
        <v>100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242"/>
        <v>0</v>
      </c>
      <c r="U328" s="47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5"/>
      <c r="K329" s="46"/>
      <c r="L329" s="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5)</f>
        <v>5</v>
      </c>
      <c r="J330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3)</f>
        <v>3</v>
      </c>
      <c r="K330" s="47">
        <f ca="1">IF(I330&gt;0,J330*100/I330,0)</f>
        <v>60</v>
      </c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310">
        <f ca="1">I344</f>
        <v>12140</v>
      </c>
      <c r="J332" s="310">
        <f ca="1">J344+J347+J348+J349+J353</f>
        <v>63340</v>
      </c>
      <c r="K332" s="311">
        <f ca="1">IF(I332&gt;0,J332*100/I332,0)</f>
        <v>521.74629324546947</v>
      </c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13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132">
        <f t="shared" ref="L333:N333" ca="1" si="252">L334+L335</f>
        <v>3831100</v>
      </c>
      <c r="M333" s="132">
        <f t="shared" ca="1" si="252"/>
        <v>3882275</v>
      </c>
      <c r="N333" s="132">
        <f t="shared" ca="1" si="252"/>
        <v>1942313.49</v>
      </c>
      <c r="O333" s="132">
        <f t="shared" ref="O333:O341" ca="1" si="253">IF(L333&gt;0,N333*100/L333,0)</f>
        <v>50.698585001696642</v>
      </c>
      <c r="P333" s="132">
        <f t="shared" ref="P333:P341" ca="1" si="254">IF(M333&gt;0,N333*100/M333,0)</f>
        <v>50.030291259635135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48" t="s">
        <v>20</v>
      </c>
      <c r="F334" s="41"/>
      <c r="G334" s="43"/>
      <c r="H334" s="133" t="s">
        <v>14</v>
      </c>
      <c r="I334" s="45"/>
      <c r="J334" s="45"/>
      <c r="K334" s="46"/>
      <c r="L334" s="47">
        <f t="shared" ref="L334:N334" ca="1" si="258">L337+L340</f>
        <v>0</v>
      </c>
      <c r="M334" s="47">
        <f t="shared" ca="1" si="258"/>
        <v>0</v>
      </c>
      <c r="N334" s="47">
        <f t="shared" ca="1" si="258"/>
        <v>0</v>
      </c>
      <c r="O334" s="47">
        <f t="shared" ca="1" si="253"/>
        <v>0</v>
      </c>
      <c r="P334" s="47">
        <f t="shared" ca="1" si="254"/>
        <v>0</v>
      </c>
      <c r="Q334" s="47">
        <f t="shared" ref="Q334:S334" ca="1" si="259">Q337+Q340</f>
        <v>0</v>
      </c>
      <c r="R334" s="47">
        <f t="shared" ca="1" si="259"/>
        <v>0</v>
      </c>
      <c r="S334" s="47">
        <f t="shared" ca="1" si="259"/>
        <v>0</v>
      </c>
      <c r="T334" s="49">
        <f t="shared" ca="1" si="256"/>
        <v>0</v>
      </c>
      <c r="U334" s="49">
        <f t="shared" ca="1" si="257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7">
        <f t="shared" ref="L335:N335" ca="1" si="260">L338+L341</f>
        <v>3831100</v>
      </c>
      <c r="M335" s="47">
        <f t="shared" ca="1" si="260"/>
        <v>3882275</v>
      </c>
      <c r="N335" s="47">
        <f t="shared" ca="1" si="260"/>
        <v>1942313.49</v>
      </c>
      <c r="O335" s="47">
        <f t="shared" ca="1" si="253"/>
        <v>50.698585001696642</v>
      </c>
      <c r="P335" s="47">
        <f t="shared" ca="1" si="254"/>
        <v>50.030291259635135</v>
      </c>
      <c r="Q335" s="47">
        <f t="shared" ref="Q335:S335" ca="1" si="261">Q338+Q341</f>
        <v>0</v>
      </c>
      <c r="R335" s="47">
        <f t="shared" ca="1" si="261"/>
        <v>0</v>
      </c>
      <c r="S335" s="47">
        <f t="shared" ca="1" si="261"/>
        <v>0</v>
      </c>
      <c r="T335" s="47">
        <f t="shared" ca="1" si="256"/>
        <v>0</v>
      </c>
      <c r="U335" s="47">
        <f t="shared" ca="1" si="257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7">
        <f t="shared" ref="L336:N336" ca="1" si="262">L337+L338</f>
        <v>2981100</v>
      </c>
      <c r="M336" s="47">
        <f t="shared" ca="1" si="262"/>
        <v>3032275</v>
      </c>
      <c r="N336" s="47">
        <f t="shared" ca="1" si="262"/>
        <v>1942313.49</v>
      </c>
      <c r="O336" s="47">
        <f t="shared" ca="1" si="253"/>
        <v>65.154254805273226</v>
      </c>
      <c r="P336" s="47">
        <f t="shared" ca="1" si="254"/>
        <v>64.054661598964472</v>
      </c>
      <c r="Q336" s="47">
        <f t="shared" ref="Q336:S336" ca="1" si="263">Q337+Q338</f>
        <v>0</v>
      </c>
      <c r="R336" s="47">
        <f t="shared" ca="1" si="263"/>
        <v>0</v>
      </c>
      <c r="S336" s="47">
        <f t="shared" ca="1" si="263"/>
        <v>0</v>
      </c>
      <c r="T336" s="47">
        <f t="shared" ca="1" si="256"/>
        <v>0</v>
      </c>
      <c r="U336" s="47">
        <f t="shared" ca="1" si="257"/>
        <v>0</v>
      </c>
    </row>
    <row r="337" spans="1:21" ht="18.75" hidden="1" x14ac:dyDescent="0.25">
      <c r="A337" s="128"/>
      <c r="B337" s="41"/>
      <c r="C337" s="41"/>
      <c r="D337" s="41"/>
      <c r="E337" s="48" t="s">
        <v>36</v>
      </c>
      <c r="F337" s="41"/>
      <c r="G337" s="43"/>
      <c r="H337" s="134" t="s">
        <v>14</v>
      </c>
      <c r="I337" s="135"/>
      <c r="J337" s="135"/>
      <c r="K337" s="136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253"/>
        <v>0</v>
      </c>
      <c r="P337" s="47">
        <f t="shared" ca="1" si="254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256"/>
        <v>0</v>
      </c>
      <c r="U337" s="49">
        <f t="shared" ca="1" si="257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2981100)</f>
        <v>2981100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3032275)</f>
        <v>3032275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1942313.49)</f>
        <v>1942313.49</v>
      </c>
      <c r="O338" s="47">
        <f t="shared" ca="1" si="253"/>
        <v>65.154254805273226</v>
      </c>
      <c r="P338" s="47">
        <f t="shared" ca="1" si="254"/>
        <v>64.054661598964472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256"/>
        <v>0</v>
      </c>
      <c r="U338" s="47">
        <f t="shared" ca="1" si="257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7">
        <f t="shared" ref="L339:N339" ca="1" si="264">L340+L341</f>
        <v>850000</v>
      </c>
      <c r="M339" s="47">
        <f t="shared" ca="1" si="264"/>
        <v>850000</v>
      </c>
      <c r="N339" s="47">
        <f t="shared" ca="1" si="264"/>
        <v>0</v>
      </c>
      <c r="O339" s="47">
        <f t="shared" ca="1" si="253"/>
        <v>0</v>
      </c>
      <c r="P339" s="47">
        <f t="shared" ca="1" si="254"/>
        <v>0</v>
      </c>
      <c r="Q339" s="47">
        <f t="shared" ref="Q339:S339" ca="1" si="265">Q340+Q341</f>
        <v>0</v>
      </c>
      <c r="R339" s="47">
        <f t="shared" ca="1" si="265"/>
        <v>0</v>
      </c>
      <c r="S339" s="47">
        <f t="shared" ca="1" si="265"/>
        <v>0</v>
      </c>
      <c r="T339" s="47">
        <f t="shared" ca="1" si="256"/>
        <v>0</v>
      </c>
      <c r="U339" s="47">
        <f t="shared" ca="1" si="257"/>
        <v>0</v>
      </c>
    </row>
    <row r="340" spans="1:21" ht="18.75" hidden="1" x14ac:dyDescent="0.25">
      <c r="A340" s="128"/>
      <c r="B340" s="41"/>
      <c r="C340" s="41"/>
      <c r="D340" s="41"/>
      <c r="E340" s="48" t="s">
        <v>20</v>
      </c>
      <c r="F340" s="41"/>
      <c r="G340" s="43"/>
      <c r="H340" s="134" t="s">
        <v>14</v>
      </c>
      <c r="I340" s="135"/>
      <c r="J340" s="135"/>
      <c r="K340" s="136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253"/>
        <v>0</v>
      </c>
      <c r="P340" s="47">
        <f t="shared" ca="1" si="254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256"/>
        <v>0</v>
      </c>
      <c r="U340" s="49">
        <f t="shared" ca="1" si="257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850000)</f>
        <v>850000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850000)</f>
        <v>850000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1" s="47">
        <f t="shared" ca="1" si="253"/>
        <v>0</v>
      </c>
      <c r="P341" s="47">
        <f t="shared" ca="1" si="254"/>
        <v>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256"/>
        <v>0</v>
      </c>
      <c r="U341" s="47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222"/>
      <c r="B343" s="225"/>
      <c r="C343" s="223"/>
      <c r="D343" s="225"/>
      <c r="E343" s="316" t="s">
        <v>137</v>
      </c>
      <c r="F343" s="225"/>
      <c r="G343" s="226"/>
      <c r="H343" s="227" t="s">
        <v>35</v>
      </c>
      <c r="I343" s="228">
        <v>0</v>
      </c>
      <c r="J343" s="228">
        <f ca="1">J344+J347+J348+J349</f>
        <v>27500</v>
      </c>
      <c r="K343" s="229">
        <v>0</v>
      </c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4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26882)</f>
        <v>26882</v>
      </c>
      <c r="K344" s="47">
        <f ca="1">IF(I344&gt;0,J344*100/I344,0)</f>
        <v>221.43327841845141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6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51)</f>
        <v>51</v>
      </c>
      <c r="K346" s="47">
        <f ca="1">IF(I346&gt;0,J346*100/I346,0)</f>
        <v>154.54545454545453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410)</f>
        <v>410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76)</f>
        <v>76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31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47568</v>
      </c>
      <c r="K351" s="229">
        <v>0</v>
      </c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11728)</f>
        <v>11728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35840)</f>
        <v>35840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13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132">
        <f t="shared" ref="L356:N356" ca="1" si="266">L357+L358</f>
        <v>9088150</v>
      </c>
      <c r="M356" s="132">
        <f t="shared" ca="1" si="266"/>
        <v>10068530</v>
      </c>
      <c r="N356" s="132">
        <f t="shared" ca="1" si="266"/>
        <v>6833492.9699999997</v>
      </c>
      <c r="O356" s="132">
        <f t="shared" ref="O356:O364" ca="1" si="267">IF(L356&gt;0,N356*100/L356,0)</f>
        <v>75.191243212314944</v>
      </c>
      <c r="P356" s="132">
        <f t="shared" ref="P356:P364" ca="1" si="268">IF(M356&gt;0,N356*100/M356,0)</f>
        <v>67.869817838353768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48" t="s">
        <v>20</v>
      </c>
      <c r="F357" s="41"/>
      <c r="G357" s="43"/>
      <c r="H357" s="133" t="s">
        <v>14</v>
      </c>
      <c r="I357" s="45"/>
      <c r="J357" s="45"/>
      <c r="K357" s="46"/>
      <c r="L357" s="47">
        <f t="shared" ref="L357:N357" ca="1" si="272">L360+L363</f>
        <v>0</v>
      </c>
      <c r="M357" s="47">
        <f t="shared" ca="1" si="272"/>
        <v>0</v>
      </c>
      <c r="N357" s="47">
        <f t="shared" ca="1" si="272"/>
        <v>0</v>
      </c>
      <c r="O357" s="47">
        <f t="shared" ca="1" si="267"/>
        <v>0</v>
      </c>
      <c r="P357" s="47">
        <f t="shared" ca="1" si="268"/>
        <v>0</v>
      </c>
      <c r="Q357" s="47">
        <f t="shared" ref="Q357:S357" ca="1" si="273">Q360+Q363</f>
        <v>0</v>
      </c>
      <c r="R357" s="47">
        <f t="shared" ca="1" si="273"/>
        <v>0</v>
      </c>
      <c r="S357" s="47">
        <f t="shared" ca="1" si="273"/>
        <v>0</v>
      </c>
      <c r="T357" s="49">
        <f t="shared" ca="1" si="270"/>
        <v>0</v>
      </c>
      <c r="U357" s="49">
        <f t="shared" ca="1" si="271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7">
        <f t="shared" ref="L358:N358" ca="1" si="274">L361+L364</f>
        <v>9088150</v>
      </c>
      <c r="M358" s="47">
        <f t="shared" ca="1" si="274"/>
        <v>10068530</v>
      </c>
      <c r="N358" s="47">
        <f t="shared" ca="1" si="274"/>
        <v>6833492.9699999997</v>
      </c>
      <c r="O358" s="47">
        <f t="shared" ca="1" si="267"/>
        <v>75.191243212314944</v>
      </c>
      <c r="P358" s="47">
        <f t="shared" ca="1" si="268"/>
        <v>67.869817838353768</v>
      </c>
      <c r="Q358" s="47">
        <f t="shared" ref="Q358:S358" ca="1" si="275">Q361+Q364</f>
        <v>0</v>
      </c>
      <c r="R358" s="47">
        <f t="shared" ca="1" si="275"/>
        <v>0</v>
      </c>
      <c r="S358" s="47">
        <f t="shared" ca="1" si="275"/>
        <v>0</v>
      </c>
      <c r="T358" s="47">
        <f t="shared" ca="1" si="270"/>
        <v>0</v>
      </c>
      <c r="U358" s="47">
        <f t="shared" ca="1" si="271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7">
        <f t="shared" ref="L359:N359" ca="1" si="276">L360+L361</f>
        <v>9088150</v>
      </c>
      <c r="M359" s="47">
        <f t="shared" ca="1" si="276"/>
        <v>10068530</v>
      </c>
      <c r="N359" s="47">
        <f t="shared" ca="1" si="276"/>
        <v>6833492.9699999997</v>
      </c>
      <c r="O359" s="47">
        <f t="shared" ca="1" si="267"/>
        <v>75.191243212314944</v>
      </c>
      <c r="P359" s="47">
        <f t="shared" ca="1" si="268"/>
        <v>67.869817838353768</v>
      </c>
      <c r="Q359" s="47">
        <f t="shared" ref="Q359:S359" ca="1" si="277">Q360+Q361</f>
        <v>0</v>
      </c>
      <c r="R359" s="47">
        <f t="shared" ca="1" si="277"/>
        <v>0</v>
      </c>
      <c r="S359" s="47">
        <f t="shared" ca="1" si="277"/>
        <v>0</v>
      </c>
      <c r="T359" s="47">
        <f t="shared" ca="1" si="270"/>
        <v>0</v>
      </c>
      <c r="U359" s="47">
        <f t="shared" ca="1" si="271"/>
        <v>0</v>
      </c>
    </row>
    <row r="360" spans="1:21" ht="18.75" hidden="1" x14ac:dyDescent="0.25">
      <c r="A360" s="128"/>
      <c r="B360" s="41"/>
      <c r="C360" s="41"/>
      <c r="D360" s="41"/>
      <c r="E360" s="48" t="s">
        <v>36</v>
      </c>
      <c r="F360" s="41"/>
      <c r="G360" s="43"/>
      <c r="H360" s="134" t="s">
        <v>14</v>
      </c>
      <c r="I360" s="135"/>
      <c r="J360" s="135"/>
      <c r="K360" s="136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267"/>
        <v>0</v>
      </c>
      <c r="P360" s="47">
        <f t="shared" ca="1" si="268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270"/>
        <v>0</v>
      </c>
      <c r="U360" s="49">
        <f t="shared" ca="1" si="271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9088150)</f>
        <v>9088150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10068530)</f>
        <v>10068530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6833492.97)</f>
        <v>6833492.9699999997</v>
      </c>
      <c r="O361" s="47">
        <f t="shared" ca="1" si="267"/>
        <v>75.191243212314944</v>
      </c>
      <c r="P361" s="47">
        <f t="shared" ca="1" si="268"/>
        <v>67.869817838353768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270"/>
        <v>0</v>
      </c>
      <c r="U361" s="47">
        <f t="shared" ca="1" si="271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7">
        <f t="shared" ref="L362:N362" ca="1" si="278">L363+L364</f>
        <v>0</v>
      </c>
      <c r="M362" s="47">
        <f t="shared" ca="1" si="278"/>
        <v>0</v>
      </c>
      <c r="N362" s="47">
        <f t="shared" ca="1" si="278"/>
        <v>0</v>
      </c>
      <c r="O362" s="47">
        <f t="shared" ca="1" si="267"/>
        <v>0</v>
      </c>
      <c r="P362" s="47">
        <f t="shared" ca="1" si="268"/>
        <v>0</v>
      </c>
      <c r="Q362" s="47">
        <f t="shared" ref="Q362:S362" ca="1" si="279">Q363+Q364</f>
        <v>0</v>
      </c>
      <c r="R362" s="47">
        <f t="shared" ca="1" si="279"/>
        <v>0</v>
      </c>
      <c r="S362" s="47">
        <f t="shared" ca="1" si="279"/>
        <v>0</v>
      </c>
      <c r="T362" s="47">
        <f t="shared" ca="1" si="270"/>
        <v>0</v>
      </c>
      <c r="U362" s="47">
        <f t="shared" ca="1" si="271"/>
        <v>0</v>
      </c>
    </row>
    <row r="363" spans="1:21" ht="18.75" hidden="1" x14ac:dyDescent="0.25">
      <c r="A363" s="128"/>
      <c r="B363" s="41"/>
      <c r="C363" s="41"/>
      <c r="D363" s="41"/>
      <c r="E363" s="48" t="s">
        <v>20</v>
      </c>
      <c r="F363" s="41"/>
      <c r="G363" s="43"/>
      <c r="H363" s="134" t="s">
        <v>14</v>
      </c>
      <c r="I363" s="135"/>
      <c r="J363" s="135"/>
      <c r="K363" s="136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267"/>
        <v>0</v>
      </c>
      <c r="P363" s="47">
        <f t="shared" ca="1" si="268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270"/>
        <v>0</v>
      </c>
      <c r="U363" s="49">
        <f t="shared" ca="1" si="271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267"/>
        <v>0</v>
      </c>
      <c r="P364" s="47">
        <f t="shared" ca="1" si="268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270"/>
        <v>0</v>
      </c>
      <c r="U364" s="47">
        <f t="shared" ca="1" si="271"/>
        <v>0</v>
      </c>
    </row>
    <row r="365" spans="1:21" ht="19.5" x14ac:dyDescent="0.3">
      <c r="A365" s="222"/>
      <c r="B365" s="223"/>
      <c r="C365" s="225"/>
      <c r="D365" s="318" t="s">
        <v>149</v>
      </c>
      <c r="E365" s="225"/>
      <c r="F365" s="225"/>
      <c r="G365" s="226"/>
      <c r="H365" s="234" t="s">
        <v>35</v>
      </c>
      <c r="I365" s="228">
        <f t="shared" ref="I365:J365" ca="1" si="280">I371</f>
        <v>3951</v>
      </c>
      <c r="J365" s="228">
        <f t="shared" ca="1" si="280"/>
        <v>3056</v>
      </c>
      <c r="K365" s="229">
        <f ca="1">IF(I365&gt;0,J365*100/I365,0)</f>
        <v>77.347506960263217</v>
      </c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5"/>
      <c r="J366" s="45"/>
      <c r="K366" s="4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2162)</f>
        <v>2162</v>
      </c>
      <c r="K367" s="47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13105)</f>
        <v>13105</v>
      </c>
      <c r="J368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18920.5199999999)</f>
        <v>18920.519999999899</v>
      </c>
      <c r="K368" s="47">
        <f t="shared" ca="1" si="281"/>
        <v>144.37634490652346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3951)</f>
        <v>3951</v>
      </c>
      <c r="J369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4152)</f>
        <v>4152</v>
      </c>
      <c r="K369" s="47">
        <f t="shared" ca="1" si="281"/>
        <v>105.08731966590736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48394.59)</f>
        <v>48394.59</v>
      </c>
      <c r="K370" s="47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3951)</f>
        <v>3951</v>
      </c>
      <c r="J371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3056)</f>
        <v>3056</v>
      </c>
      <c r="K371" s="47">
        <f t="shared" ca="1" si="281"/>
        <v>77.347506960263217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38203.08)</f>
        <v>38203.08</v>
      </c>
      <c r="K372" s="47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13"/>
      <c r="B374" s="322" t="s">
        <v>153</v>
      </c>
      <c r="C374" s="314"/>
      <c r="D374" s="315"/>
      <c r="E374" s="307"/>
      <c r="F374" s="307"/>
      <c r="G374" s="308"/>
      <c r="H374" s="323" t="s">
        <v>46</v>
      </c>
      <c r="I374" s="310">
        <f ca="1">I385</f>
        <v>0</v>
      </c>
      <c r="J374" s="310">
        <f ca="1">J386+J388</f>
        <v>791</v>
      </c>
      <c r="K374" s="311">
        <f ca="1">IF(I374&gt;0,J374*100/I374,0)</f>
        <v>0</v>
      </c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324" t="s">
        <v>19</v>
      </c>
      <c r="E375" s="159"/>
      <c r="F375" s="159"/>
      <c r="G375" s="191"/>
      <c r="H375" s="131" t="s">
        <v>14</v>
      </c>
      <c r="I375" s="45"/>
      <c r="J375" s="45"/>
      <c r="K375" s="46"/>
      <c r="L375" s="132">
        <f t="shared" ref="L375:N375" ca="1" si="282">L376+L377</f>
        <v>220800</v>
      </c>
      <c r="M375" s="132">
        <f t="shared" ca="1" si="282"/>
        <v>220800</v>
      </c>
      <c r="N375" s="132">
        <f t="shared" ca="1" si="282"/>
        <v>21305</v>
      </c>
      <c r="O375" s="132">
        <f t="shared" ref="O375:O383" ca="1" si="283">IF(L375&gt;0,N375*100/L375,0)</f>
        <v>9.6490036231884062</v>
      </c>
      <c r="P375" s="132">
        <f t="shared" ref="P375:P383" ca="1" si="284">IF(M375&gt;0,N375*100/M375,0)</f>
        <v>9.6490036231884062</v>
      </c>
      <c r="Q375" s="132">
        <f t="shared" ref="Q375:S375" ca="1" si="285">Q376+Q377</f>
        <v>618750</v>
      </c>
      <c r="R375" s="132">
        <f t="shared" ca="1" si="285"/>
        <v>601187.5</v>
      </c>
      <c r="S375" s="132">
        <f t="shared" ca="1" si="285"/>
        <v>180701.74</v>
      </c>
      <c r="T375" s="132">
        <f t="shared" ref="T375:T383" ca="1" si="286">IF(Q375&gt;0,S375*100/Q375,0)</f>
        <v>29.204321616161618</v>
      </c>
      <c r="U375" s="132">
        <f t="shared" ref="U375:U383" ca="1" si="287">IF(R375&gt;0,S375*100/R375,0)</f>
        <v>30.057467928059051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">
        <f t="shared" ref="L376:N376" ca="1" si="288">L379+L382</f>
        <v>0</v>
      </c>
      <c r="M376" s="49">
        <f t="shared" ca="1" si="288"/>
        <v>0</v>
      </c>
      <c r="N376" s="49">
        <f t="shared" ca="1" si="288"/>
        <v>0</v>
      </c>
      <c r="O376" s="49">
        <f t="shared" ca="1" si="283"/>
        <v>0</v>
      </c>
      <c r="P376" s="49">
        <f t="shared" ca="1" si="284"/>
        <v>0</v>
      </c>
      <c r="Q376" s="49">
        <f t="shared" ref="Q376:S376" ca="1" si="289">Q379+Q382</f>
        <v>0</v>
      </c>
      <c r="R376" s="49">
        <f t="shared" ca="1" si="289"/>
        <v>0</v>
      </c>
      <c r="S376" s="49">
        <f t="shared" ca="1" si="289"/>
        <v>0</v>
      </c>
      <c r="T376" s="49">
        <f t="shared" ca="1" si="286"/>
        <v>0</v>
      </c>
      <c r="U376" s="49">
        <f t="shared" ca="1" si="287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7">
        <f t="shared" ref="L377:N377" ca="1" si="290">L380+L383</f>
        <v>220800</v>
      </c>
      <c r="M377" s="47">
        <f t="shared" ca="1" si="290"/>
        <v>220800</v>
      </c>
      <c r="N377" s="47">
        <f t="shared" ca="1" si="290"/>
        <v>21305</v>
      </c>
      <c r="O377" s="47">
        <f t="shared" ca="1" si="283"/>
        <v>9.6490036231884062</v>
      </c>
      <c r="P377" s="47">
        <f t="shared" ca="1" si="284"/>
        <v>9.6490036231884062</v>
      </c>
      <c r="Q377" s="47">
        <f t="shared" ref="Q377:S377" ca="1" si="291">Q380+Q383</f>
        <v>618750</v>
      </c>
      <c r="R377" s="47">
        <f t="shared" ca="1" si="291"/>
        <v>601187.5</v>
      </c>
      <c r="S377" s="47">
        <f t="shared" ca="1" si="291"/>
        <v>180701.74</v>
      </c>
      <c r="T377" s="47">
        <f t="shared" ca="1" si="286"/>
        <v>29.204321616161618</v>
      </c>
      <c r="U377" s="47">
        <f t="shared" ca="1" si="287"/>
        <v>30.057467928059051</v>
      </c>
    </row>
    <row r="378" spans="1:21" ht="18.75" x14ac:dyDescent="0.25">
      <c r="A378" s="128"/>
      <c r="B378" s="159"/>
      <c r="C378" s="159"/>
      <c r="D378" s="16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7">
        <f t="shared" ref="L378:N378" ca="1" si="292">L379+L380</f>
        <v>220800</v>
      </c>
      <c r="M378" s="47">
        <f t="shared" ca="1" si="292"/>
        <v>220800</v>
      </c>
      <c r="N378" s="47">
        <f t="shared" ca="1" si="292"/>
        <v>21305</v>
      </c>
      <c r="O378" s="47">
        <f t="shared" ca="1" si="283"/>
        <v>9.6490036231884062</v>
      </c>
      <c r="P378" s="47">
        <f t="shared" ca="1" si="284"/>
        <v>9.6490036231884062</v>
      </c>
      <c r="Q378" s="47">
        <f t="shared" ref="Q378:S378" ca="1" si="293">Q379+Q380</f>
        <v>618750</v>
      </c>
      <c r="R378" s="47">
        <f t="shared" ca="1" si="293"/>
        <v>601187.5</v>
      </c>
      <c r="S378" s="47">
        <f t="shared" ca="1" si="293"/>
        <v>180701.74</v>
      </c>
      <c r="T378" s="47">
        <f t="shared" ca="1" si="286"/>
        <v>29.204321616161618</v>
      </c>
      <c r="U378" s="47">
        <f t="shared" ca="1" si="287"/>
        <v>30.057467928059051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283"/>
        <v>0</v>
      </c>
      <c r="P379" s="49">
        <f t="shared" ca="1" si="284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286"/>
        <v>0</v>
      </c>
      <c r="U379" s="49">
        <f t="shared" ca="1" si="287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220800)</f>
        <v>220800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220800)</f>
        <v>220800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21305)</f>
        <v>21305</v>
      </c>
      <c r="O380" s="47">
        <f t="shared" ca="1" si="283"/>
        <v>9.6490036231884062</v>
      </c>
      <c r="P380" s="47">
        <f t="shared" ca="1" si="284"/>
        <v>9.6490036231884062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601187.5)</f>
        <v>601187.5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180701.74)</f>
        <v>180701.74</v>
      </c>
      <c r="T380" s="47">
        <f t="shared" ca="1" si="286"/>
        <v>29.204321616161618</v>
      </c>
      <c r="U380" s="47">
        <f t="shared" ca="1" si="287"/>
        <v>30.057467928059051</v>
      </c>
    </row>
    <row r="381" spans="1:21" ht="18.75" x14ac:dyDescent="0.25">
      <c r="A381" s="128"/>
      <c r="B381" s="159"/>
      <c r="C381" s="159"/>
      <c r="D381" s="16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7">
        <f t="shared" ref="L381:N381" ca="1" si="294">L382+L383</f>
        <v>0</v>
      </c>
      <c r="M381" s="47">
        <f t="shared" ca="1" si="294"/>
        <v>0</v>
      </c>
      <c r="N381" s="47">
        <f t="shared" ca="1" si="294"/>
        <v>0</v>
      </c>
      <c r="O381" s="47">
        <f t="shared" ca="1" si="283"/>
        <v>0</v>
      </c>
      <c r="P381" s="47">
        <f t="shared" ca="1" si="284"/>
        <v>0</v>
      </c>
      <c r="Q381" s="47">
        <f t="shared" ref="Q381:S381" ca="1" si="295">Q382+Q383</f>
        <v>0</v>
      </c>
      <c r="R381" s="47">
        <f t="shared" ca="1" si="295"/>
        <v>0</v>
      </c>
      <c r="S381" s="47">
        <f t="shared" ca="1" si="295"/>
        <v>0</v>
      </c>
      <c r="T381" s="47">
        <f t="shared" ca="1" si="286"/>
        <v>0</v>
      </c>
      <c r="U381" s="47">
        <f t="shared" ca="1" si="287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283"/>
        <v>0</v>
      </c>
      <c r="P382" s="49">
        <f t="shared" ca="1" si="284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286"/>
        <v>0</v>
      </c>
      <c r="U382" s="49">
        <f t="shared" ca="1" si="287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283"/>
        <v>0</v>
      </c>
      <c r="P383" s="47">
        <f t="shared" ca="1" si="284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286"/>
        <v>0</v>
      </c>
      <c r="U383" s="47">
        <f t="shared" ca="1" si="287"/>
        <v>0</v>
      </c>
    </row>
    <row r="384" spans="1:21" ht="19.5" x14ac:dyDescent="0.3">
      <c r="A384" s="138"/>
      <c r="B384" s="139"/>
      <c r="C384" s="162" t="s">
        <v>18</v>
      </c>
      <c r="D384" s="325" t="s">
        <v>38</v>
      </c>
      <c r="E384" s="141"/>
      <c r="F384" s="141"/>
      <c r="G384" s="142"/>
      <c r="H384" s="189"/>
      <c r="I384" s="135"/>
      <c r="J384" s="45"/>
      <c r="K384" s="46"/>
      <c r="L384" s="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112)</f>
        <v>112</v>
      </c>
      <c r="K385" s="47">
        <f t="shared" ref="K385:K388" ca="1" si="296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6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791)</f>
        <v>791</v>
      </c>
      <c r="K386" s="47">
        <f t="shared" ca="1" si="296"/>
        <v>7.9898989898989896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30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331">
        <f t="shared" ca="1" si="296"/>
        <v>0</v>
      </c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30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331">
        <f t="shared" ca="1" si="296"/>
        <v>0</v>
      </c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37">
        <f t="shared" ref="I391:J391" si="297">I402</f>
        <v>0</v>
      </c>
      <c r="J391" s="337">
        <f t="shared" si="297"/>
        <v>0</v>
      </c>
      <c r="K391" s="311">
        <f>IF(I391&gt;0,J391*100/I391,0)</f>
        <v>0</v>
      </c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324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">
        <f t="shared" ref="L393:N393" ca="1" si="304">L396+L399</f>
        <v>0</v>
      </c>
      <c r="M393" s="49">
        <f t="shared" ca="1" si="304"/>
        <v>0</v>
      </c>
      <c r="N393" s="49">
        <f t="shared" ca="1" si="304"/>
        <v>0</v>
      </c>
      <c r="O393" s="49">
        <f t="shared" ca="1" si="299"/>
        <v>0</v>
      </c>
      <c r="P393" s="49">
        <f t="shared" ca="1" si="300"/>
        <v>0</v>
      </c>
      <c r="Q393" s="49">
        <f t="shared" ref="Q393:S393" ca="1" si="305">Q396+Q399</f>
        <v>0</v>
      </c>
      <c r="R393" s="49">
        <f t="shared" ca="1" si="305"/>
        <v>0</v>
      </c>
      <c r="S393" s="49">
        <f t="shared" ca="1" si="305"/>
        <v>0</v>
      </c>
      <c r="T393" s="49">
        <f t="shared" ca="1" si="302"/>
        <v>0</v>
      </c>
      <c r="U393" s="49">
        <f t="shared" ca="1" si="303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7">
        <f t="shared" ref="L394:N394" ca="1" si="306">L397+L400</f>
        <v>0</v>
      </c>
      <c r="M394" s="47">
        <f t="shared" ca="1" si="306"/>
        <v>0</v>
      </c>
      <c r="N394" s="47">
        <f t="shared" ca="1" si="306"/>
        <v>0</v>
      </c>
      <c r="O394" s="47">
        <f t="shared" ca="1" si="299"/>
        <v>0</v>
      </c>
      <c r="P394" s="47">
        <f t="shared" ca="1" si="300"/>
        <v>0</v>
      </c>
      <c r="Q394" s="47">
        <f t="shared" ref="Q394:S394" ca="1" si="307">Q397+Q400</f>
        <v>0</v>
      </c>
      <c r="R394" s="47">
        <f t="shared" ca="1" si="307"/>
        <v>0</v>
      </c>
      <c r="S394" s="47">
        <f t="shared" ca="1" si="307"/>
        <v>0</v>
      </c>
      <c r="T394" s="47">
        <f t="shared" ca="1" si="302"/>
        <v>0</v>
      </c>
      <c r="U394" s="47">
        <f t="shared" ca="1" si="303"/>
        <v>0</v>
      </c>
    </row>
    <row r="395" spans="1:21" ht="18.75" hidden="1" x14ac:dyDescent="0.25">
      <c r="A395" s="128"/>
      <c r="B395" s="159"/>
      <c r="C395" s="159"/>
      <c r="D395" s="16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7">
        <f t="shared" ref="L395:N395" ca="1" si="308">L396+L397</f>
        <v>0</v>
      </c>
      <c r="M395" s="47">
        <f t="shared" ca="1" si="308"/>
        <v>0</v>
      </c>
      <c r="N395" s="47">
        <f t="shared" ca="1" si="308"/>
        <v>0</v>
      </c>
      <c r="O395" s="47">
        <f t="shared" ca="1" si="299"/>
        <v>0</v>
      </c>
      <c r="P395" s="47">
        <f t="shared" ca="1" si="300"/>
        <v>0</v>
      </c>
      <c r="Q395" s="47">
        <f t="shared" ref="Q395:S395" ca="1" si="309">Q396+Q397</f>
        <v>0</v>
      </c>
      <c r="R395" s="47">
        <f t="shared" ca="1" si="309"/>
        <v>0</v>
      </c>
      <c r="S395" s="47">
        <f t="shared" ca="1" si="309"/>
        <v>0</v>
      </c>
      <c r="T395" s="47">
        <f t="shared" ca="1" si="302"/>
        <v>0</v>
      </c>
      <c r="U395" s="47">
        <f t="shared" ca="1" si="303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299"/>
        <v>0</v>
      </c>
      <c r="P396" s="49">
        <f t="shared" ca="1" si="300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302"/>
        <v>0</v>
      </c>
      <c r="U396" s="49">
        <f t="shared" ca="1" si="303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299"/>
        <v>0</v>
      </c>
      <c r="P397" s="47">
        <f t="shared" ca="1" si="300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302"/>
        <v>0</v>
      </c>
      <c r="U397" s="47">
        <f t="shared" ca="1" si="303"/>
        <v>0</v>
      </c>
    </row>
    <row r="398" spans="1:21" ht="18.75" hidden="1" x14ac:dyDescent="0.25">
      <c r="A398" s="128"/>
      <c r="B398" s="159"/>
      <c r="C398" s="159"/>
      <c r="D398" s="16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7">
        <f t="shared" ref="L398:N398" ca="1" si="310">L399+L400</f>
        <v>0</v>
      </c>
      <c r="M398" s="47">
        <f t="shared" ca="1" si="310"/>
        <v>0</v>
      </c>
      <c r="N398" s="47">
        <f t="shared" ca="1" si="310"/>
        <v>0</v>
      </c>
      <c r="O398" s="47">
        <f t="shared" ca="1" si="299"/>
        <v>0</v>
      </c>
      <c r="P398" s="47">
        <f t="shared" ca="1" si="300"/>
        <v>0</v>
      </c>
      <c r="Q398" s="47">
        <f t="shared" ref="Q398:S398" ca="1" si="311">Q399+Q400</f>
        <v>0</v>
      </c>
      <c r="R398" s="47">
        <f t="shared" ca="1" si="311"/>
        <v>0</v>
      </c>
      <c r="S398" s="47">
        <f t="shared" ca="1" si="311"/>
        <v>0</v>
      </c>
      <c r="T398" s="47">
        <f t="shared" ca="1" si="302"/>
        <v>0</v>
      </c>
      <c r="U398" s="47">
        <f t="shared" ca="1" si="303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299"/>
        <v>0</v>
      </c>
      <c r="P399" s="49">
        <f t="shared" ca="1" si="300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302"/>
        <v>0</v>
      </c>
      <c r="U399" s="49">
        <f t="shared" ca="1" si="303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299"/>
        <v>0</v>
      </c>
      <c r="P400" s="47">
        <f t="shared" ca="1" si="300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302"/>
        <v>0</v>
      </c>
      <c r="U400" s="47">
        <f t="shared" ca="1" si="303"/>
        <v>0</v>
      </c>
    </row>
    <row r="401" spans="1:21" ht="19.5" hidden="1" x14ac:dyDescent="0.3">
      <c r="A401" s="138"/>
      <c r="B401" s="139"/>
      <c r="C401" s="162" t="s">
        <v>18</v>
      </c>
      <c r="D401" s="325" t="s">
        <v>38</v>
      </c>
      <c r="E401" s="141"/>
      <c r="F401" s="141"/>
      <c r="G401" s="142"/>
      <c r="H401" s="189"/>
      <c r="I401" s="135"/>
      <c r="J401" s="45"/>
      <c r="K401" s="46"/>
      <c r="L401" s="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t="shared" ref="I412:J412" ca="1" si="312">I423</f>
        <v>216167</v>
      </c>
      <c r="J412" s="310">
        <f t="shared" ca="1" si="312"/>
        <v>0</v>
      </c>
      <c r="K412" s="311">
        <f ca="1">IF(I412&gt;0,J412*100/I412,0)</f>
        <v>0</v>
      </c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541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132">
        <f t="shared" ref="L413:N413" ca="1" si="313">L414+L415</f>
        <v>2053310</v>
      </c>
      <c r="M413" s="132">
        <f t="shared" ca="1" si="313"/>
        <v>3033003</v>
      </c>
      <c r="N413" s="132">
        <f t="shared" ca="1" si="313"/>
        <v>1322724.18</v>
      </c>
      <c r="O413" s="132">
        <f t="shared" ref="O413:O421" ca="1" si="314">IF(L413&gt;0,N413*100/L413,0)</f>
        <v>64.41911742503568</v>
      </c>
      <c r="P413" s="132">
        <f t="shared" ref="P413:P421" ca="1" si="315">IF(M413&gt;0,N413*100/M413,0)</f>
        <v>43.611040938634083</v>
      </c>
      <c r="Q413" s="132">
        <f t="shared" ref="Q413:S413" ca="1" si="316">Q414+Q415</f>
        <v>347120</v>
      </c>
      <c r="R413" s="132">
        <f t="shared" ca="1" si="316"/>
        <v>347120</v>
      </c>
      <c r="S413" s="132">
        <f t="shared" ca="1" si="316"/>
        <v>15000</v>
      </c>
      <c r="T413" s="132">
        <f t="shared" ref="T413:T421" ca="1" si="317">IF(Q413&gt;0,S413*100/Q413,0)</f>
        <v>4.3212721825305369</v>
      </c>
      <c r="U413" s="132">
        <f t="shared" ref="U413:U421" ca="1" si="318">IF(R413&gt;0,S413*100/R413,0)</f>
        <v>4.3212721825305369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49">
        <f t="shared" ref="L414:N414" ca="1" si="319">L417+L420</f>
        <v>0</v>
      </c>
      <c r="M414" s="49">
        <f t="shared" ca="1" si="319"/>
        <v>0</v>
      </c>
      <c r="N414" s="49">
        <f t="shared" ca="1" si="319"/>
        <v>0</v>
      </c>
      <c r="O414" s="49">
        <f t="shared" ca="1" si="314"/>
        <v>0</v>
      </c>
      <c r="P414" s="49">
        <f t="shared" ca="1" si="315"/>
        <v>0</v>
      </c>
      <c r="Q414" s="49">
        <f t="shared" ref="Q414:S414" ca="1" si="320">Q417+Q420</f>
        <v>0</v>
      </c>
      <c r="R414" s="49">
        <f t="shared" ca="1" si="320"/>
        <v>0</v>
      </c>
      <c r="S414" s="49">
        <f t="shared" ca="1" si="320"/>
        <v>0</v>
      </c>
      <c r="T414" s="49">
        <f t="shared" ca="1" si="317"/>
        <v>0</v>
      </c>
      <c r="U414" s="49">
        <f t="shared" ca="1" si="318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7">
        <f t="shared" ref="L415:N415" ca="1" si="321">L418+L421</f>
        <v>2053310</v>
      </c>
      <c r="M415" s="47">
        <f t="shared" ca="1" si="321"/>
        <v>3033003</v>
      </c>
      <c r="N415" s="47">
        <f t="shared" ca="1" si="321"/>
        <v>1322724.18</v>
      </c>
      <c r="O415" s="47">
        <f t="shared" ca="1" si="314"/>
        <v>64.41911742503568</v>
      </c>
      <c r="P415" s="47">
        <f t="shared" ca="1" si="315"/>
        <v>43.611040938634083</v>
      </c>
      <c r="Q415" s="47">
        <f t="shared" ref="Q415:S415" ca="1" si="322">Q418+Q421</f>
        <v>347120</v>
      </c>
      <c r="R415" s="47">
        <f t="shared" ca="1" si="322"/>
        <v>347120</v>
      </c>
      <c r="S415" s="47">
        <f t="shared" ca="1" si="322"/>
        <v>15000</v>
      </c>
      <c r="T415" s="47">
        <f t="shared" ca="1" si="317"/>
        <v>4.3212721825305369</v>
      </c>
      <c r="U415" s="47">
        <f t="shared" ca="1" si="318"/>
        <v>4.3212721825305369</v>
      </c>
    </row>
    <row r="416" spans="1:21" ht="19.5" x14ac:dyDescent="0.3">
      <c r="A416" s="128"/>
      <c r="B416" s="159"/>
      <c r="C416" s="159"/>
      <c r="D416" s="324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47">
        <f t="shared" ref="L416:N416" ca="1" si="323">L417+L418</f>
        <v>2053310</v>
      </c>
      <c r="M416" s="47">
        <f t="shared" ca="1" si="323"/>
        <v>3033003</v>
      </c>
      <c r="N416" s="47">
        <f t="shared" ca="1" si="323"/>
        <v>1322724.18</v>
      </c>
      <c r="O416" s="47">
        <f t="shared" ca="1" si="314"/>
        <v>64.41911742503568</v>
      </c>
      <c r="P416" s="47">
        <f t="shared" ca="1" si="315"/>
        <v>43.611040938634083</v>
      </c>
      <c r="Q416" s="47">
        <f t="shared" ref="Q416:S416" ca="1" si="324">Q417+Q418</f>
        <v>347120</v>
      </c>
      <c r="R416" s="47">
        <f t="shared" ca="1" si="324"/>
        <v>347120</v>
      </c>
      <c r="S416" s="47">
        <f t="shared" ca="1" si="324"/>
        <v>15000</v>
      </c>
      <c r="T416" s="47">
        <f t="shared" ca="1" si="317"/>
        <v>4.3212721825305369</v>
      </c>
      <c r="U416" s="47">
        <f t="shared" ca="1" si="318"/>
        <v>4.3212721825305369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314"/>
        <v>0</v>
      </c>
      <c r="P417" s="49">
        <f t="shared" ca="1" si="315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317"/>
        <v>0</v>
      </c>
      <c r="U417" s="49">
        <f t="shared" ca="1" si="318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2053310)</f>
        <v>2053310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3033003)</f>
        <v>3033003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1322724.18)</f>
        <v>1322724.18</v>
      </c>
      <c r="O418" s="47">
        <f t="shared" ca="1" si="314"/>
        <v>64.41911742503568</v>
      </c>
      <c r="P418" s="47">
        <f t="shared" ca="1" si="315"/>
        <v>43.611040938634083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347120)</f>
        <v>347120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347120)</f>
        <v>347120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15000)</f>
        <v>15000</v>
      </c>
      <c r="T418" s="47">
        <f t="shared" ca="1" si="317"/>
        <v>4.3212721825305369</v>
      </c>
      <c r="U418" s="47">
        <f t="shared" ca="1" si="318"/>
        <v>4.3212721825305369</v>
      </c>
    </row>
    <row r="419" spans="1:21" ht="19.5" x14ac:dyDescent="0.3">
      <c r="A419" s="128"/>
      <c r="B419" s="159"/>
      <c r="C419" s="159"/>
      <c r="D419" s="324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7">
        <f t="shared" ref="L419:N419" ca="1" si="325">L420+L421</f>
        <v>0</v>
      </c>
      <c r="M419" s="47">
        <f t="shared" ca="1" si="325"/>
        <v>0</v>
      </c>
      <c r="N419" s="47">
        <f t="shared" ca="1" si="325"/>
        <v>0</v>
      </c>
      <c r="O419" s="47">
        <f t="shared" ca="1" si="314"/>
        <v>0</v>
      </c>
      <c r="P419" s="47">
        <f t="shared" ca="1" si="315"/>
        <v>0</v>
      </c>
      <c r="Q419" s="47">
        <f t="shared" ref="Q419:S419" ca="1" si="326">Q420+Q421</f>
        <v>0</v>
      </c>
      <c r="R419" s="47">
        <f t="shared" ca="1" si="326"/>
        <v>0</v>
      </c>
      <c r="S419" s="47">
        <f t="shared" ca="1" si="326"/>
        <v>0</v>
      </c>
      <c r="T419" s="47">
        <f t="shared" ca="1" si="317"/>
        <v>0</v>
      </c>
      <c r="U419" s="47">
        <f t="shared" ca="1" si="318"/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314"/>
        <v>0</v>
      </c>
      <c r="P420" s="49">
        <f t="shared" ca="1" si="315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317"/>
        <v>0</v>
      </c>
      <c r="U420" s="49">
        <f t="shared" ca="1" si="318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314"/>
        <v>0</v>
      </c>
      <c r="P421" s="47">
        <f t="shared" ca="1" si="315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317"/>
        <v>0</v>
      </c>
      <c r="U421" s="47">
        <f t="shared" ca="1" si="318"/>
        <v>0</v>
      </c>
    </row>
    <row r="422" spans="1:21" ht="19.5" x14ac:dyDescent="0.3">
      <c r="A422" s="217"/>
      <c r="B422" s="159"/>
      <c r="C422" s="340" t="s">
        <v>18</v>
      </c>
      <c r="D422" s="346" t="s">
        <v>38</v>
      </c>
      <c r="E422" s="159"/>
      <c r="F422" s="159"/>
      <c r="G422" s="191"/>
      <c r="H422" s="191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t="shared" ref="I423:J423" ca="1" si="327">I440</f>
        <v>216167</v>
      </c>
      <c r="J423" s="147">
        <f t="shared" ca="1" si="327"/>
        <v>0</v>
      </c>
      <c r="K423" s="132">
        <f t="shared" ref="K423:K425" ca="1" si="328">IF(I423&gt;0,J423*100/I423,0)</f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216167)</f>
        <v>216167</v>
      </c>
      <c r="J424" s="147">
        <f t="shared" ref="J424:J425" ca="1" si="329">J426+J428+J430</f>
        <v>54</v>
      </c>
      <c r="K424" s="132">
        <f t="shared" ca="1" si="328"/>
        <v>2.4980686228702809E-2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20200)</f>
        <v>20200</v>
      </c>
      <c r="J425" s="147">
        <f t="shared" ca="1" si="329"/>
        <v>22</v>
      </c>
      <c r="K425" s="132">
        <f t="shared" ca="1" si="328"/>
        <v>0.10891089108910891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54)</f>
        <v>54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22)</f>
        <v>22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216167)</f>
        <v>216167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20200)</f>
        <v>20200</v>
      </c>
      <c r="J433" s="147">
        <f t="shared" ca="1" si="330"/>
        <v>0</v>
      </c>
      <c r="K433" s="132">
        <f t="shared" ca="1" si="331"/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216167)</f>
        <v>216167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20200)</f>
        <v>20200</v>
      </c>
      <c r="J441" s="147">
        <f t="shared" ca="1" si="332"/>
        <v>0</v>
      </c>
      <c r="K441" s="132">
        <f t="shared" ca="1" si="333"/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 t="shared" ref="J446:J447" ca="1" si="334">J448+J450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 t="shared" ca="1" si="334"/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347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t="shared" ref="I456:J456" ca="1" si="335">I457</f>
        <v>1815</v>
      </c>
      <c r="J456" s="147">
        <f t="shared" ca="1" si="335"/>
        <v>0</v>
      </c>
      <c r="K456" s="132">
        <f t="shared" ref="K456:K458" ca="1" si="336">IF(I456&gt;0,J456*100/I456,0)</f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1815)</f>
        <v>1815</v>
      </c>
      <c r="J457" s="147">
        <f t="shared" ref="J457:J458" ca="1" si="337">J459+J467+J473</f>
        <v>0</v>
      </c>
      <c r="K457" s="132">
        <f t="shared" ca="1" si="336"/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8" s="147">
        <f t="shared" ca="1" si="337"/>
        <v>0</v>
      </c>
      <c r="K458" s="132">
        <f t="shared" ca="1" si="336"/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 t="shared" ref="J459:J460" ca="1" si="338">J461+J463</f>
        <v>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 t="shared" ca="1" si="338"/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152">
        <f t="shared" ref="J467:J468" ca="1" si="339">J469+J471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 t="shared" ca="1" si="339"/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f t="shared" ref="I475:J475" ca="1" si="340">I484</f>
        <v>161</v>
      </c>
      <c r="J475" s="147">
        <f t="shared" ca="1" si="340"/>
        <v>0</v>
      </c>
      <c r="K475" s="132">
        <f t="shared" ref="K475:K477" ca="1" si="341">IF(I475&gt;0,J475*100/I475,0)</f>
        <v>0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 t="shared" ref="J476:J477" ca="1" si="342">J478+J480</f>
        <v>0</v>
      </c>
      <c r="K476" s="132">
        <f t="shared" si="341"/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 t="shared" ca="1" si="342"/>
        <v>0</v>
      </c>
      <c r="K477" s="132">
        <f t="shared" si="341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152"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147">
        <f ca="1">IFERROR(__xludf.DUMMYFUNCTION("IMPORTRANGE(""https://docs.google.com/spreadsheets/d/1kKUcYdkIfrgTSj8iHHHB2MD2FAtwyyocFgqGQn6ADyI/edit?usp=sharing"",""กระบี่!I484"")+IMPORTRANGE(""https://docs.google.com/spreadsheets/d/1GwtLaSlNZkLk7iDqcyZz22giiy40b_usZZBXYciEN1U/edit?usp=sharing"",""ชุ"&amp;"มพร!I484"")+IMPORTRANGE(""https://docs.google.com/spreadsheets/d/16pAz3pOhQEZBhvFNMa5KGgZS6iKWpsKX0pg6tQmwFpo/edit?usp=sharing"",""ตรัง!I484"")+IMPORTRANGE(""https://docs.google.com/spreadsheets/d/1Dj4jcHCTV9JXKCaMoheSXS52JE63kDKyG7bPXnFogHk/edit?usp=shar"&amp;"ing"",""นครศรีธรรมราช!I484"")+IMPORTRANGE(""https://docs.google.com/spreadsheets/d/1iodCdmuK2GR3jzUwk8tpccY2JHQQA-87DLOtJP-ooyU/edit?usp=sharing"",""นราธิวาส!I484"")+IMPORTRANGE(""https://docs.google.com/spreadsheets/d/1SDNX3JhDdYRuIOsj0Wh2M-Qa_eaXl0NbWmh"&amp;"AOTbfQAs/edit?usp=sharing"",""ปัตตานี!I484"")+IMPORTRANGE(""https://docs.google.com/spreadsheets/d/16JDLGguT8s5DsGCND1KcwHP_AWR_zDMTqLHPLJUKhaU/edit?usp=sharing"",""พังงา!I484"")+IMPORTRANGE(""https://docs.google.com/spreadsheets/d/17ht0gPKzzT3PObBL1XJkeR"&amp;"mntBXI7wGjpLV7QorqlTk/edit?usp=sharing"",""พัทลุง!I484"")+IMPORTRANGE(""https://docs.google.com/spreadsheets/d/1rd4qoM1q_hsgaolqNGfrim9gbsoLxQsda4-vOz5x_BM/edit?usp=sharing"",""ภูเก็ต!I484"")+IMPORTRANGE(""https://docs.google.com/spreadsheets/d/1woKwKjgoL"&amp;"ssDvPcPeVyezB5izizAn4X1JDrys69n6xI/edit?usp=sharing"",""ยะลา!I484"")+IMPORTRANGE(""https://docs.google.com/spreadsheets/d/1qfrKjzMhm2HJfxQ-qVlJlJQ25Hne1d0khsySbZyGtPA/edit?usp=sharing"",""ระนอง!I484"")+IMPORTRANGE(""https://docs.google.com/spreadsheets/d/"&amp;"1IbSCnFOKpZsnFogBHJnL_isstZVaOMnFiIN0fGTPZZw/edit?usp=sharing"",""สงขลา!I484"")+IMPORTRANGE(""https://docs.google.com/spreadsheets/d/1q9nWasZJ-K8bFGvbE9n0qSRuKGA4Toe3Y89cKCiVtCU/edit?usp=sharing"",""สตูล!I484"")+IMPORTRANGE(""https://docs.google.com/sprea"&amp;"dsheets/d/18T20gbkS_WBjdscyTOV05cvq_JqvqQ17C81mpxf7Ncs/edit?usp=sharing"",""สุราษฎร์ธานี!I484"")"),161)</f>
        <v>161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147">
        <f ca="1">IFERROR(__xludf.DUMMYFUNCTION("IMPORTRANGE(""https://docs.google.com/spreadsheets/d/1kKUcYdkIfrgTSj8iHHHB2MD2FAtwyyocFgqGQn6ADyI/edit?usp=sharing"",""กระบี่!I485"")+IMPORTRANGE(""https://docs.google.com/spreadsheets/d/1GwtLaSlNZkLk7iDqcyZz22giiy40b_usZZBXYciEN1U/edit?usp=sharing"",""ชุ"&amp;"มพร!I485"")+IMPORTRANGE(""https://docs.google.com/spreadsheets/d/16pAz3pOhQEZBhvFNMa5KGgZS6iKWpsKX0pg6tQmwFpo/edit?usp=sharing"",""ตรัง!I485"")+IMPORTRANGE(""https://docs.google.com/spreadsheets/d/1Dj4jcHCTV9JXKCaMoheSXS52JE63kDKyG7bPXnFogHk/edit?usp=shar"&amp;"ing"",""นครศรีธรรมราช!I485"")+IMPORTRANGE(""https://docs.google.com/spreadsheets/d/1iodCdmuK2GR3jzUwk8tpccY2JHQQA-87DLOtJP-ooyU/edit?usp=sharing"",""นราธิวาส!I485"")+IMPORTRANGE(""https://docs.google.com/spreadsheets/d/1SDNX3JhDdYRuIOsj0Wh2M-Qa_eaXl0NbWmh"&amp;"AOTbfQAs/edit?usp=sharing"",""ปัตตานี!I485"")+IMPORTRANGE(""https://docs.google.com/spreadsheets/d/16JDLGguT8s5DsGCND1KcwHP_AWR_zDMTqLHPLJUKhaU/edit?usp=sharing"",""พังงา!I485"")+IMPORTRANGE(""https://docs.google.com/spreadsheets/d/17ht0gPKzzT3PObBL1XJkeR"&amp;"mntBXI7wGjpLV7QorqlTk/edit?usp=sharing"",""พัทลุง!I485"")+IMPORTRANGE(""https://docs.google.com/spreadsheets/d/1rd4qoM1q_hsgaolqNGfrim9gbsoLxQsda4-vOz5x_BM/edit?usp=sharing"",""ภูเก็ต!I485"")+IMPORTRANGE(""https://docs.google.com/spreadsheets/d/1woKwKjgoL"&amp;"ssDvPcPeVyezB5izizAn4X1JDrys69n6xI/edit?usp=sharing"",""ยะลา!I485"")+IMPORTRANGE(""https://docs.google.com/spreadsheets/d/1qfrKjzMhm2HJfxQ-qVlJlJQ25Hne1d0khsySbZyGtPA/edit?usp=sharing"",""ระนอง!I485"")+IMPORTRANGE(""https://docs.google.com/spreadsheets/d/"&amp;"1IbSCnFOKpZsnFogBHJnL_isstZVaOMnFiIN0fGTPZZw/edit?usp=sharing"",""สงขลา!I485"")+IMPORTRANGE(""https://docs.google.com/spreadsheets/d/1q9nWasZJ-K8bFGvbE9n0qSRuKGA4Toe3Y89cKCiVtCU/edit?usp=sharing"",""สตูล!I485"")+IMPORTRANGE(""https://docs.google.com/sprea"&amp;"dsheets/d/18T20gbkS_WBjdscyTOV05cvq_JqvqQ17C81mpxf7Ncs/edit?usp=sharing"",""สุราษฎร์ธานี!I485"")"),26)</f>
        <v>26</v>
      </c>
      <c r="J485" s="147">
        <f t="shared" ca="1" si="343"/>
        <v>0</v>
      </c>
      <c r="K485" s="132">
        <f t="shared" ca="1" si="344"/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197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t="shared" ref="I492:J492" ca="1" si="345">I503</f>
        <v>210</v>
      </c>
      <c r="J492" s="310">
        <f t="shared" ca="1" si="345"/>
        <v>161</v>
      </c>
      <c r="K492" s="311">
        <f ca="1">IF(I492&gt;0,J492*100/I492,0)</f>
        <v>76.666666666666671</v>
      </c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52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132">
        <f t="shared" ref="L493:N493" ca="1" si="346">L494+L495</f>
        <v>124100</v>
      </c>
      <c r="M493" s="132">
        <f t="shared" ca="1" si="346"/>
        <v>124100</v>
      </c>
      <c r="N493" s="132">
        <f t="shared" ca="1" si="346"/>
        <v>56670</v>
      </c>
      <c r="O493" s="132">
        <f t="shared" ref="O493:O501" ca="1" si="347">IF(L493&gt;0,N493*100/L493,0)</f>
        <v>45.664786462530216</v>
      </c>
      <c r="P493" s="132">
        <f t="shared" ref="P493:P501" ca="1" si="348">IF(M493&gt;0,N493*100/M493,0)</f>
        <v>45.664786462530216</v>
      </c>
      <c r="Q493" s="132">
        <f t="shared" ref="Q493:S493" ca="1" si="349">Q494+Q495</f>
        <v>2737845</v>
      </c>
      <c r="R493" s="132">
        <f t="shared" ca="1" si="349"/>
        <v>2768645</v>
      </c>
      <c r="S493" s="132">
        <f t="shared" ca="1" si="349"/>
        <v>1397433.93</v>
      </c>
      <c r="T493" s="132">
        <f t="shared" ref="T493:T501" ca="1" si="350">IF(Q493&gt;0,S493*100/Q493,0)</f>
        <v>51.041382181971585</v>
      </c>
      <c r="U493" s="132">
        <f t="shared" ref="U493:U501" ca="1" si="351">IF(R493&gt;0,S493*100/R493,0)</f>
        <v>50.473568478443426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">
        <f t="shared" ref="L494:N494" ca="1" si="352">L497+L500</f>
        <v>0</v>
      </c>
      <c r="M494" s="49">
        <f t="shared" ca="1" si="352"/>
        <v>0</v>
      </c>
      <c r="N494" s="49">
        <f t="shared" ca="1" si="352"/>
        <v>0</v>
      </c>
      <c r="O494" s="49">
        <f t="shared" ca="1" si="347"/>
        <v>0</v>
      </c>
      <c r="P494" s="49">
        <f t="shared" ca="1" si="348"/>
        <v>0</v>
      </c>
      <c r="Q494" s="49">
        <f t="shared" ref="Q494:S494" ca="1" si="353">Q497+Q500</f>
        <v>0</v>
      </c>
      <c r="R494" s="49">
        <f t="shared" ca="1" si="353"/>
        <v>0</v>
      </c>
      <c r="S494" s="49">
        <f t="shared" ca="1" si="353"/>
        <v>0</v>
      </c>
      <c r="T494" s="49">
        <f t="shared" ca="1" si="350"/>
        <v>0</v>
      </c>
      <c r="U494" s="49">
        <f t="shared" ca="1" si="351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7">
        <f t="shared" ref="L495:N495" ca="1" si="354">L498+L501</f>
        <v>124100</v>
      </c>
      <c r="M495" s="47">
        <f t="shared" ca="1" si="354"/>
        <v>124100</v>
      </c>
      <c r="N495" s="47">
        <f t="shared" ca="1" si="354"/>
        <v>56670</v>
      </c>
      <c r="O495" s="47">
        <f t="shared" ca="1" si="347"/>
        <v>45.664786462530216</v>
      </c>
      <c r="P495" s="47">
        <f t="shared" ca="1" si="348"/>
        <v>45.664786462530216</v>
      </c>
      <c r="Q495" s="47">
        <f t="shared" ref="Q495:S495" ca="1" si="355">Q498+Q501</f>
        <v>2737845</v>
      </c>
      <c r="R495" s="47">
        <f t="shared" ca="1" si="355"/>
        <v>2768645</v>
      </c>
      <c r="S495" s="47">
        <f t="shared" ca="1" si="355"/>
        <v>1397433.93</v>
      </c>
      <c r="T495" s="47">
        <f t="shared" ca="1" si="350"/>
        <v>51.041382181971585</v>
      </c>
      <c r="U495" s="47">
        <f t="shared" ca="1" si="351"/>
        <v>50.473568478443426</v>
      </c>
    </row>
    <row r="496" spans="1:21" ht="18.75" x14ac:dyDescent="0.25">
      <c r="A496" s="128"/>
      <c r="B496" s="159"/>
      <c r="C496" s="159"/>
      <c r="D496" s="16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7">
        <f t="shared" ref="L496:N496" ca="1" si="356">L497+L498</f>
        <v>124100</v>
      </c>
      <c r="M496" s="47">
        <f t="shared" ca="1" si="356"/>
        <v>124100</v>
      </c>
      <c r="N496" s="47">
        <f t="shared" ca="1" si="356"/>
        <v>56670</v>
      </c>
      <c r="O496" s="47">
        <f t="shared" ca="1" si="347"/>
        <v>45.664786462530216</v>
      </c>
      <c r="P496" s="47">
        <f t="shared" ca="1" si="348"/>
        <v>45.664786462530216</v>
      </c>
      <c r="Q496" s="47">
        <f t="shared" ref="Q496:S496" ca="1" si="357">Q497+Q498</f>
        <v>2737845</v>
      </c>
      <c r="R496" s="47">
        <f t="shared" ca="1" si="357"/>
        <v>2768645</v>
      </c>
      <c r="S496" s="47">
        <f t="shared" ca="1" si="357"/>
        <v>1397433.93</v>
      </c>
      <c r="T496" s="47">
        <f t="shared" ca="1" si="350"/>
        <v>51.041382181971585</v>
      </c>
      <c r="U496" s="47">
        <f t="shared" ca="1" si="351"/>
        <v>50.473568478443426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347"/>
        <v>0</v>
      </c>
      <c r="P497" s="49">
        <f t="shared" ca="1" si="348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350"/>
        <v>0</v>
      </c>
      <c r="U497" s="49">
        <f t="shared" ca="1" si="351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124100)</f>
        <v>124100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124100)</f>
        <v>124100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56670)</f>
        <v>56670</v>
      </c>
      <c r="O498" s="47">
        <f t="shared" ca="1" si="347"/>
        <v>45.664786462530216</v>
      </c>
      <c r="P498" s="47">
        <f t="shared" ca="1" si="348"/>
        <v>45.664786462530216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2768645)</f>
        <v>2768645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1397433.93)</f>
        <v>1397433.93</v>
      </c>
      <c r="T498" s="47">
        <f t="shared" ca="1" si="350"/>
        <v>51.041382181971585</v>
      </c>
      <c r="U498" s="47">
        <f t="shared" ca="1" si="351"/>
        <v>50.473568478443426</v>
      </c>
    </row>
    <row r="499" spans="1:21" ht="18.75" x14ac:dyDescent="0.25">
      <c r="A499" s="128"/>
      <c r="B499" s="159"/>
      <c r="C499" s="159"/>
      <c r="D499" s="16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7">
        <f t="shared" ref="L499:N499" ca="1" si="358">L500+L501</f>
        <v>0</v>
      </c>
      <c r="M499" s="47">
        <f t="shared" ca="1" si="358"/>
        <v>0</v>
      </c>
      <c r="N499" s="47">
        <f t="shared" ca="1" si="358"/>
        <v>0</v>
      </c>
      <c r="O499" s="47">
        <f t="shared" ca="1" si="347"/>
        <v>0</v>
      </c>
      <c r="P499" s="47">
        <f t="shared" ca="1" si="348"/>
        <v>0</v>
      </c>
      <c r="Q499" s="47">
        <f t="shared" ref="Q499:S499" ca="1" si="359">Q500+Q501</f>
        <v>0</v>
      </c>
      <c r="R499" s="47">
        <f t="shared" ca="1" si="359"/>
        <v>0</v>
      </c>
      <c r="S499" s="47">
        <f t="shared" ca="1" si="359"/>
        <v>0</v>
      </c>
      <c r="T499" s="47">
        <f t="shared" ca="1" si="350"/>
        <v>0</v>
      </c>
      <c r="U499" s="47">
        <f t="shared" ca="1" si="351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347"/>
        <v>0</v>
      </c>
      <c r="P500" s="49">
        <f t="shared" ca="1" si="348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350"/>
        <v>0</v>
      </c>
      <c r="U500" s="49">
        <f t="shared" ca="1" si="351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350"/>
        <v>0</v>
      </c>
      <c r="U501" s="47">
        <f t="shared" ca="1" si="351"/>
        <v>0</v>
      </c>
    </row>
    <row r="502" spans="1:21" ht="19.5" x14ac:dyDescent="0.3">
      <c r="A502" s="138"/>
      <c r="B502" s="139"/>
      <c r="C502" s="188" t="s">
        <v>18</v>
      </c>
      <c r="D502" s="325" t="s">
        <v>38</v>
      </c>
      <c r="E502" s="141"/>
      <c r="F502" s="141"/>
      <c r="G502" s="142"/>
      <c r="H502" s="189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161)</f>
        <v>161</v>
      </c>
      <c r="K503" s="132">
        <f t="shared" ref="K503:K509" ca="1" si="360">IF(I503&gt;0,J503*100/I503,0)</f>
        <v>76.666666666666671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210)</f>
        <v>210</v>
      </c>
      <c r="J504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159)</f>
        <v>159</v>
      </c>
      <c r="K504" s="47">
        <f t="shared" ca="1" si="360"/>
        <v>75.714285714285708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210)</f>
        <v>210</v>
      </c>
      <c r="J505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161)</f>
        <v>161</v>
      </c>
      <c r="K505" s="47">
        <f t="shared" ca="1" si="360"/>
        <v>76.666666666666671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210)</f>
        <v>210</v>
      </c>
      <c r="J506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139)</f>
        <v>139</v>
      </c>
      <c r="K506" s="47">
        <f t="shared" ca="1" si="360"/>
        <v>66.19047619047619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50)</f>
        <v>50</v>
      </c>
      <c r="J507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10)</f>
        <v>10</v>
      </c>
      <c r="K507" s="47">
        <f t="shared" ca="1" si="360"/>
        <v>20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55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30)</f>
        <v>30</v>
      </c>
      <c r="K509" s="111">
        <f t="shared" ca="1" si="360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56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360"/>
      <c r="M510" s="360"/>
      <c r="N510" s="360"/>
      <c r="O510" s="360"/>
      <c r="P510" s="361"/>
      <c r="Q510" s="360"/>
      <c r="R510" s="360"/>
      <c r="S510" s="360"/>
      <c r="T510" s="362"/>
      <c r="U510" s="362"/>
    </row>
    <row r="511" spans="1:21" ht="19.5" x14ac:dyDescent="0.3">
      <c r="A511" s="363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368"/>
      <c r="M511" s="368"/>
      <c r="N511" s="368"/>
      <c r="O511" s="368"/>
      <c r="P511" s="368"/>
      <c r="Q511" s="368"/>
      <c r="R511" s="368"/>
      <c r="S511" s="368"/>
      <c r="T511" s="369"/>
      <c r="U511" s="369"/>
    </row>
    <row r="512" spans="1:21" ht="19.5" x14ac:dyDescent="0.3">
      <c r="A512" s="370"/>
      <c r="B512" s="371" t="s">
        <v>207</v>
      </c>
      <c r="C512" s="372"/>
      <c r="D512" s="373"/>
      <c r="E512" s="373"/>
      <c r="F512" s="373"/>
      <c r="G512" s="374"/>
      <c r="H512" s="375" t="s">
        <v>61</v>
      </c>
      <c r="I512" s="376">
        <f t="shared" ref="I512:J512" ca="1" si="361">I524</f>
        <v>1</v>
      </c>
      <c r="J512" s="376">
        <f t="shared" ca="1" si="361"/>
        <v>0</v>
      </c>
      <c r="K512" s="377">
        <f ca="1">IF(I512&gt;0,J512*100/I512,0)</f>
        <v>0</v>
      </c>
      <c r="L512" s="378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128"/>
      <c r="B513" s="41"/>
      <c r="C513" s="129" t="s">
        <v>18</v>
      </c>
      <c r="D513" s="130" t="s">
        <v>19</v>
      </c>
      <c r="E513" s="41"/>
      <c r="F513" s="41"/>
      <c r="G513" s="43"/>
      <c r="H513" s="131" t="s">
        <v>14</v>
      </c>
      <c r="I513" s="45"/>
      <c r="J513" s="45"/>
      <c r="K513" s="46"/>
      <c r="L513" s="132">
        <f t="shared" ref="L513:N513" ca="1" si="362">L514+L515</f>
        <v>33423500</v>
      </c>
      <c r="M513" s="132">
        <f t="shared" ca="1" si="362"/>
        <v>33423500</v>
      </c>
      <c r="N513" s="132">
        <f t="shared" ca="1" si="362"/>
        <v>33423500</v>
      </c>
      <c r="O513" s="132">
        <f t="shared" ref="O513:O521" ca="1" si="363">IF(L513&gt;0,N513*100/L513,0)</f>
        <v>100</v>
      </c>
      <c r="P513" s="132">
        <f t="shared" ref="P513:P521" ca="1" si="364">IF(M513&gt;0,N513*100/M513,0)</f>
        <v>100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48" t="s">
        <v>20</v>
      </c>
      <c r="F514" s="41"/>
      <c r="G514" s="43"/>
      <c r="H514" s="133" t="s">
        <v>14</v>
      </c>
      <c r="I514" s="45"/>
      <c r="J514" s="45"/>
      <c r="K514" s="46"/>
      <c r="L514" s="47">
        <f t="shared" ref="L514:N514" ca="1" si="368">L517+L520</f>
        <v>0</v>
      </c>
      <c r="M514" s="47">
        <f t="shared" ca="1" si="368"/>
        <v>0</v>
      </c>
      <c r="N514" s="47">
        <f t="shared" ca="1" si="368"/>
        <v>0</v>
      </c>
      <c r="O514" s="47">
        <f t="shared" ca="1" si="363"/>
        <v>0</v>
      </c>
      <c r="P514" s="47">
        <f t="shared" ca="1" si="364"/>
        <v>0</v>
      </c>
      <c r="Q514" s="47">
        <f t="shared" ref="Q514:S514" ca="1" si="369">Q517+Q520</f>
        <v>0</v>
      </c>
      <c r="R514" s="47">
        <f t="shared" ca="1" si="369"/>
        <v>0</v>
      </c>
      <c r="S514" s="47">
        <f t="shared" ca="1" si="369"/>
        <v>0</v>
      </c>
      <c r="T514" s="49">
        <f t="shared" ca="1" si="366"/>
        <v>0</v>
      </c>
      <c r="U514" s="49">
        <f t="shared" ca="1" si="367"/>
        <v>0</v>
      </c>
    </row>
    <row r="515" spans="1:21" ht="18.75" hidden="1" x14ac:dyDescent="0.25">
      <c r="A515" s="128"/>
      <c r="B515" s="41"/>
      <c r="C515" s="41"/>
      <c r="D515" s="41"/>
      <c r="E515" s="48" t="s">
        <v>21</v>
      </c>
      <c r="F515" s="41"/>
      <c r="G515" s="43"/>
      <c r="H515" s="133" t="s">
        <v>14</v>
      </c>
      <c r="I515" s="45"/>
      <c r="J515" s="45"/>
      <c r="K515" s="46"/>
      <c r="L515" s="47">
        <f t="shared" ref="L515:N515" ca="1" si="370">L518+L521</f>
        <v>33423500</v>
      </c>
      <c r="M515" s="47">
        <f t="shared" ca="1" si="370"/>
        <v>33423500</v>
      </c>
      <c r="N515" s="47">
        <f t="shared" ca="1" si="370"/>
        <v>33423500</v>
      </c>
      <c r="O515" s="47">
        <f t="shared" ca="1" si="363"/>
        <v>100</v>
      </c>
      <c r="P515" s="47">
        <f t="shared" ca="1" si="364"/>
        <v>100</v>
      </c>
      <c r="Q515" s="47">
        <f t="shared" ref="Q515:S515" ca="1" si="371">Q518+Q521</f>
        <v>0</v>
      </c>
      <c r="R515" s="47">
        <f t="shared" ca="1" si="371"/>
        <v>0</v>
      </c>
      <c r="S515" s="47">
        <f t="shared" ca="1" si="371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8"/>
      <c r="B516" s="41"/>
      <c r="C516" s="41"/>
      <c r="D516" s="42" t="s">
        <v>22</v>
      </c>
      <c r="E516" s="41"/>
      <c r="F516" s="41"/>
      <c r="G516" s="43"/>
      <c r="H516" s="134" t="s">
        <v>14</v>
      </c>
      <c r="I516" s="135"/>
      <c r="J516" s="135"/>
      <c r="K516" s="136"/>
      <c r="L516" s="47">
        <f t="shared" ref="L516:N516" ca="1" si="372">L517+L518</f>
        <v>0</v>
      </c>
      <c r="M516" s="47">
        <f t="shared" ca="1" si="372"/>
        <v>0</v>
      </c>
      <c r="N516" s="47">
        <f t="shared" ca="1" si="372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3">Q517+Q518</f>
        <v>0</v>
      </c>
      <c r="R516" s="47">
        <f t="shared" ca="1" si="373"/>
        <v>0</v>
      </c>
      <c r="S516" s="47">
        <f t="shared" ca="1" si="373"/>
        <v>0</v>
      </c>
      <c r="T516" s="47">
        <f t="shared" ca="1" si="366"/>
        <v>0</v>
      </c>
      <c r="U516" s="47">
        <f t="shared" ca="1" si="367"/>
        <v>0</v>
      </c>
    </row>
    <row r="517" spans="1:21" ht="18.75" hidden="1" x14ac:dyDescent="0.25">
      <c r="A517" s="128"/>
      <c r="B517" s="41"/>
      <c r="C517" s="41"/>
      <c r="D517" s="41"/>
      <c r="E517" s="48" t="s">
        <v>36</v>
      </c>
      <c r="F517" s="41"/>
      <c r="G517" s="43"/>
      <c r="H517" s="134" t="s">
        <v>14</v>
      </c>
      <c r="I517" s="135"/>
      <c r="J517" s="135"/>
      <c r="K517" s="136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363"/>
        <v>0</v>
      </c>
      <c r="P517" s="47">
        <f t="shared" ca="1" si="364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366"/>
        <v>0</v>
      </c>
      <c r="U517" s="49">
        <f t="shared" ca="1" si="367"/>
        <v>0</v>
      </c>
    </row>
    <row r="518" spans="1:21" ht="18.75" hidden="1" x14ac:dyDescent="0.25">
      <c r="A518" s="128"/>
      <c r="B518" s="41"/>
      <c r="C518" s="41"/>
      <c r="D518" s="41"/>
      <c r="E518" s="48" t="s">
        <v>37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8"/>
      <c r="B519" s="41"/>
      <c r="C519" s="41"/>
      <c r="D519" s="42" t="s">
        <v>23</v>
      </c>
      <c r="E519" s="41"/>
      <c r="F519" s="41"/>
      <c r="G519" s="43"/>
      <c r="H519" s="137" t="s">
        <v>14</v>
      </c>
      <c r="I519" s="135"/>
      <c r="J519" s="135"/>
      <c r="K519" s="136"/>
      <c r="L519" s="47">
        <f t="shared" ref="L519:N519" ca="1" si="374">L520+L521</f>
        <v>33423500</v>
      </c>
      <c r="M519" s="47">
        <f t="shared" ca="1" si="374"/>
        <v>33423500</v>
      </c>
      <c r="N519" s="47">
        <f t="shared" ca="1" si="374"/>
        <v>33423500</v>
      </c>
      <c r="O519" s="47">
        <f t="shared" ca="1" si="363"/>
        <v>100</v>
      </c>
      <c r="P519" s="47">
        <f t="shared" ca="1" si="364"/>
        <v>100</v>
      </c>
      <c r="Q519" s="47">
        <f t="shared" ref="Q519:S519" ca="1" si="375">Q520+Q521</f>
        <v>0</v>
      </c>
      <c r="R519" s="47">
        <f t="shared" ca="1" si="375"/>
        <v>0</v>
      </c>
      <c r="S519" s="47">
        <f t="shared" ca="1" si="375"/>
        <v>0</v>
      </c>
      <c r="T519" s="47">
        <f t="shared" ca="1" si="366"/>
        <v>0</v>
      </c>
      <c r="U519" s="47">
        <f t="shared" ca="1" si="367"/>
        <v>0</v>
      </c>
    </row>
    <row r="520" spans="1:21" ht="18.75" hidden="1" x14ac:dyDescent="0.25">
      <c r="A520" s="128"/>
      <c r="B520" s="41"/>
      <c r="C520" s="41"/>
      <c r="D520" s="41"/>
      <c r="E520" s="48" t="s">
        <v>20</v>
      </c>
      <c r="F520" s="41"/>
      <c r="G520" s="43"/>
      <c r="H520" s="134" t="s">
        <v>14</v>
      </c>
      <c r="I520" s="135"/>
      <c r="J520" s="135"/>
      <c r="K520" s="136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363"/>
        <v>0</v>
      </c>
      <c r="P520" s="47">
        <f t="shared" ca="1" si="364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366"/>
        <v>0</v>
      </c>
      <c r="U520" s="49">
        <f t="shared" ca="1" si="367"/>
        <v>0</v>
      </c>
    </row>
    <row r="521" spans="1:21" ht="18.75" hidden="1" x14ac:dyDescent="0.25">
      <c r="A521" s="128"/>
      <c r="B521" s="41"/>
      <c r="C521" s="41"/>
      <c r="D521" s="41"/>
      <c r="E521" s="48" t="s">
        <v>21</v>
      </c>
      <c r="F521" s="41"/>
      <c r="G521" s="43"/>
      <c r="H521" s="137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33423500)</f>
        <v>33423500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33423500)</f>
        <v>33423500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33423500)</f>
        <v>33423500</v>
      </c>
      <c r="O521" s="47">
        <f t="shared" ca="1" si="363"/>
        <v>100</v>
      </c>
      <c r="P521" s="47">
        <f t="shared" ca="1" si="364"/>
        <v>100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366"/>
        <v>0</v>
      </c>
      <c r="U521" s="47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5"/>
      <c r="K522" s="46"/>
      <c r="L522" s="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49" t="s">
        <v>208</v>
      </c>
      <c r="E523" s="139"/>
      <c r="F523" s="41"/>
      <c r="G523" s="43"/>
      <c r="H523" s="219" t="s">
        <v>11</v>
      </c>
      <c r="I523" s="152">
        <v>0</v>
      </c>
      <c r="J523" s="152">
        <f ca="1">IFERROR(__xludf.DUMMYFUNCTION("IMPORTRANGE(""https://docs.google.com/spreadsheets/d/1kKUcYdkIfrgTSj8iHHHB2MD2FAtwyyocFgqGQn6ADyI/edit?usp=sharing"",""กระบี่!J523"")+IMPORTRANGE(""https://docs.google.com/spreadsheets/d/1GwtLaSlNZkLk7iDqcyZz22giiy40b_usZZBXYciEN1U/edit?usp=sharing"",""ชุ"&amp;"มพร!J523"")+IMPORTRANGE(""https://docs.google.com/spreadsheets/d/16pAz3pOhQEZBhvFNMa5KGgZS6iKWpsKX0pg6tQmwFpo/edit?usp=sharing"",""ตรัง!J523"")+IMPORTRANGE(""https://docs.google.com/spreadsheets/d/1Dj4jcHCTV9JXKCaMoheSXS52JE63kDKyG7bPXnFogHk/edit?usp=shar"&amp;"ing"",""นครศรีธรรมราช!J523"")+IMPORTRANGE(""https://docs.google.com/spreadsheets/d/1iodCdmuK2GR3jzUwk8tpccY2JHQQA-87DLOtJP-ooyU/edit?usp=sharing"",""นราธิวาส!J523"")+IMPORTRANGE(""https://docs.google.com/spreadsheets/d/1SDNX3JhDdYRuIOsj0Wh2M-Qa_eaXl0NbWmh"&amp;"AOTbfQAs/edit?usp=sharing"",""ปัตตานี!J523"")+IMPORTRANGE(""https://docs.google.com/spreadsheets/d/16JDLGguT8s5DsGCND1KcwHP_AWR_zDMTqLHPLJUKhaU/edit?usp=sharing"",""พังงา!J523"")+IMPORTRANGE(""https://docs.google.com/spreadsheets/d/17ht0gPKzzT3PObBL1XJkeR"&amp;"mntBXI7wGjpLV7QorqlTk/edit?usp=sharing"",""พัทลุง!J523"")+IMPORTRANGE(""https://docs.google.com/spreadsheets/d/1rd4qoM1q_hsgaolqNGfrim9gbsoLxQsda4-vOz5x_BM/edit?usp=sharing"",""ภูเก็ต!J523"")+IMPORTRANGE(""https://docs.google.com/spreadsheets/d/1woKwKjgoL"&amp;"ssDvPcPeVyezB5izizAn4X1JDrys69n6xI/edit?usp=sharing"",""ยะลา!J523"")+IMPORTRANGE(""https://docs.google.com/spreadsheets/d/1qfrKjzMhm2HJfxQ-qVlJlJQ25Hne1d0khsySbZyGtPA/edit?usp=sharing"",""ระนอง!J523"")+IMPORTRANGE(""https://docs.google.com/spreadsheets/d/"&amp;"1IbSCnFOKpZsnFogBHJnL_isstZVaOMnFiIN0fGTPZZw/edit?usp=sharing"",""สงขลา!J523"")+IMPORTRANGE(""https://docs.google.com/spreadsheets/d/1q9nWasZJ-K8bFGvbE9n0qSRuKGA4Toe3Y89cKCiVtCU/edit?usp=sharing"",""สตูล!J523"")+IMPORTRANGE(""https://docs.google.com/sprea"&amp;"dsheets/d/18T20gbkS_WBjdscyTOV05cvq_JqvqQ17C81mpxf7Ncs/edit?usp=sharing"",""สุราษฎร์ธานี!J523"")"),0)</f>
        <v>0</v>
      </c>
      <c r="K523" s="47">
        <f t="shared" ref="K523:K524" si="376"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50"/>
      <c r="B524" s="1"/>
      <c r="C524" s="3"/>
      <c r="D524" s="379" t="s">
        <v>209</v>
      </c>
      <c r="E524" s="264"/>
      <c r="F524" s="1"/>
      <c r="G524" s="53"/>
      <c r="H524" s="380" t="s">
        <v>61</v>
      </c>
      <c r="I524" s="197">
        <f ca="1">IFERROR(__xludf.DUMMYFUNCTION("IMPORTRANGE(""https://docs.google.com/spreadsheets/d/1kKUcYdkIfrgTSj8iHHHB2MD2FAtwyyocFgqGQn6ADyI/edit?usp=sharing"",""กระบี่!I524"")+IMPORTRANGE(""https://docs.google.com/spreadsheets/d/1GwtLaSlNZkLk7iDqcyZz22giiy40b_usZZBXYciEN1U/edit?usp=sharing"",""ชุ"&amp;"มพร!I524"")+IMPORTRANGE(""https://docs.google.com/spreadsheets/d/16pAz3pOhQEZBhvFNMa5KGgZS6iKWpsKX0pg6tQmwFpo/edit?usp=sharing"",""ตรัง!I524"")+IMPORTRANGE(""https://docs.google.com/spreadsheets/d/1Dj4jcHCTV9JXKCaMoheSXS52JE63kDKyG7bPXnFogHk/edit?usp=shar"&amp;"ing"",""นครศรีธรรมราช!I524"")+IMPORTRANGE(""https://docs.google.com/spreadsheets/d/1iodCdmuK2GR3jzUwk8tpccY2JHQQA-87DLOtJP-ooyU/edit?usp=sharing"",""นราธิวาส!I524"")+IMPORTRANGE(""https://docs.google.com/spreadsheets/d/1SDNX3JhDdYRuIOsj0Wh2M-Qa_eaXl0NbWmh"&amp;"AOTbfQAs/edit?usp=sharing"",""ปัตตานี!I524"")+IMPORTRANGE(""https://docs.google.com/spreadsheets/d/16JDLGguT8s5DsGCND1KcwHP_AWR_zDMTqLHPLJUKhaU/edit?usp=sharing"",""พังงา!I524"")+IMPORTRANGE(""https://docs.google.com/spreadsheets/d/17ht0gPKzzT3PObBL1XJkeR"&amp;"mntBXI7wGjpLV7QorqlTk/edit?usp=sharing"",""พัทลุง!I524"")+IMPORTRANGE(""https://docs.google.com/spreadsheets/d/1rd4qoM1q_hsgaolqNGfrim9gbsoLxQsda4-vOz5x_BM/edit?usp=sharing"",""ภูเก็ต!I524"")+IMPORTRANGE(""https://docs.google.com/spreadsheets/d/1woKwKjgoL"&amp;"ssDvPcPeVyezB5izizAn4X1JDrys69n6xI/edit?usp=sharing"",""ยะลา!I524"")+IMPORTRANGE(""https://docs.google.com/spreadsheets/d/1qfrKjzMhm2HJfxQ-qVlJlJQ25Hne1d0khsySbZyGtPA/edit?usp=sharing"",""ระนอง!I524"")+IMPORTRANGE(""https://docs.google.com/spreadsheets/d/"&amp;"1IbSCnFOKpZsnFogBHJnL_isstZVaOMnFiIN0fGTPZZw/edit?usp=sharing"",""สงขลา!I524"")+IMPORTRANGE(""https://docs.google.com/spreadsheets/d/1q9nWasZJ-K8bFGvbE9n0qSRuKGA4Toe3Y89cKCiVtCU/edit?usp=sharing"",""สตูล!I524"")+IMPORTRANGE(""https://docs.google.com/sprea"&amp;"dsheets/d/18T20gbkS_WBjdscyTOV05cvq_JqvqQ17C81mpxf7Ncs/edit?usp=sharing"",""สุราษฎร์ธานี!I524"")"),1)</f>
        <v>1</v>
      </c>
      <c r="J524" s="197">
        <f ca="1">IFERROR(__xludf.DUMMYFUNCTION("IMPORTRANGE(""https://docs.google.com/spreadsheets/d/1kKUcYdkIfrgTSj8iHHHB2MD2FAtwyyocFgqGQn6ADyI/edit?usp=sharing"",""กระบี่!J524"")+IMPORTRANGE(""https://docs.google.com/spreadsheets/d/1GwtLaSlNZkLk7iDqcyZz22giiy40b_usZZBXYciEN1U/edit?usp=sharing"",""ชุ"&amp;"มพร!J524"")+IMPORTRANGE(""https://docs.google.com/spreadsheets/d/16pAz3pOhQEZBhvFNMa5KGgZS6iKWpsKX0pg6tQmwFpo/edit?usp=sharing"",""ตรัง!J524"")+IMPORTRANGE(""https://docs.google.com/spreadsheets/d/1Dj4jcHCTV9JXKCaMoheSXS52JE63kDKyG7bPXnFogHk/edit?usp=shar"&amp;"ing"",""นครศรีธรรมราช!J524"")+IMPORTRANGE(""https://docs.google.com/spreadsheets/d/1iodCdmuK2GR3jzUwk8tpccY2JHQQA-87DLOtJP-ooyU/edit?usp=sharing"",""นราธิวาส!J524"")+IMPORTRANGE(""https://docs.google.com/spreadsheets/d/1SDNX3JhDdYRuIOsj0Wh2M-Qa_eaXl0NbWmh"&amp;"AOTbfQAs/edit?usp=sharing"",""ปัตตานี!J524"")+IMPORTRANGE(""https://docs.google.com/spreadsheets/d/16JDLGguT8s5DsGCND1KcwHP_AWR_zDMTqLHPLJUKhaU/edit?usp=sharing"",""พังงา!J524"")+IMPORTRANGE(""https://docs.google.com/spreadsheets/d/17ht0gPKzzT3PObBL1XJkeR"&amp;"mntBXI7wGjpLV7QorqlTk/edit?usp=sharing"",""พัทลุง!J524"")+IMPORTRANGE(""https://docs.google.com/spreadsheets/d/1rd4qoM1q_hsgaolqNGfrim9gbsoLxQsda4-vOz5x_BM/edit?usp=sharing"",""ภูเก็ต!J524"")+IMPORTRANGE(""https://docs.google.com/spreadsheets/d/1woKwKjgoL"&amp;"ssDvPcPeVyezB5izizAn4X1JDrys69n6xI/edit?usp=sharing"",""ยะลา!J524"")+IMPORTRANGE(""https://docs.google.com/spreadsheets/d/1qfrKjzMhm2HJfxQ-qVlJlJQ25Hne1d0khsySbZyGtPA/edit?usp=sharing"",""ระนอง!J524"")+IMPORTRANGE(""https://docs.google.com/spreadsheets/d/"&amp;"1IbSCnFOKpZsnFogBHJnL_isstZVaOMnFiIN0fGTPZZw/edit?usp=sharing"",""สงขลา!J524"")+IMPORTRANGE(""https://docs.google.com/spreadsheets/d/1q9nWasZJ-K8bFGvbE9n0qSRuKGA4Toe3Y89cKCiVtCU/edit?usp=sharing"",""สตูล!J524"")+IMPORTRANGE(""https://docs.google.com/sprea"&amp;"dsheets/d/18T20gbkS_WBjdscyTOV05cvq_JqvqQ17C81mpxf7Ncs/edit?usp=sharing"",""สุราษฎร์ธานี!J524"")"),0)</f>
        <v>0</v>
      </c>
      <c r="K524" s="111">
        <f t="shared" ca="1" si="376"/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hidden="1" x14ac:dyDescent="0.2">
      <c r="A525" s="241"/>
      <c r="B525" s="242"/>
      <c r="C525" s="242"/>
      <c r="D525" s="243"/>
      <c r="E525" s="243"/>
      <c r="F525" s="243"/>
      <c r="G525" s="244"/>
      <c r="H525" s="245"/>
      <c r="I525" s="246"/>
      <c r="J525" s="246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385">
        <f t="shared" ref="I533:J533" si="377">I544</f>
        <v>0</v>
      </c>
      <c r="J533" s="385">
        <f t="shared" si="377"/>
        <v>0</v>
      </c>
      <c r="K533" s="377">
        <f>IF(I533&gt;0,J533*100/I533,0)</f>
        <v>0</v>
      </c>
      <c r="L533" s="378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x14ac:dyDescent="0.3">
      <c r="A534" s="128"/>
      <c r="B534" s="41"/>
      <c r="C534" s="129" t="s">
        <v>18</v>
      </c>
      <c r="D534" s="13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132">
        <f t="shared" ref="L534:N534" ca="1" si="378">L535+L536</f>
        <v>0</v>
      </c>
      <c r="M534" s="132">
        <f t="shared" ca="1" si="378"/>
        <v>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">
        <f t="shared" ref="L535:N535" ca="1" si="384">L538+L541</f>
        <v>0</v>
      </c>
      <c r="M535" s="49">
        <f t="shared" ca="1" si="384"/>
        <v>0</v>
      </c>
      <c r="N535" s="49">
        <f t="shared" ca="1" si="384"/>
        <v>0</v>
      </c>
      <c r="O535" s="49">
        <f t="shared" ca="1" si="379"/>
        <v>0</v>
      </c>
      <c r="P535" s="49">
        <f t="shared" ca="1" si="380"/>
        <v>0</v>
      </c>
      <c r="Q535" s="49">
        <f t="shared" ref="Q535:S535" ca="1" si="385">Q538+Q541</f>
        <v>0</v>
      </c>
      <c r="R535" s="49">
        <f t="shared" ca="1" si="385"/>
        <v>0</v>
      </c>
      <c r="S535" s="49">
        <f t="shared" ca="1" si="385"/>
        <v>0</v>
      </c>
      <c r="T535" s="49">
        <f t="shared" ca="1" si="382"/>
        <v>0</v>
      </c>
      <c r="U535" s="49">
        <f t="shared" ca="1" si="383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7">
        <f t="shared" ref="L536:N536" ca="1" si="386">L539+L542</f>
        <v>0</v>
      </c>
      <c r="M536" s="47">
        <f t="shared" ca="1" si="386"/>
        <v>0</v>
      </c>
      <c r="N536" s="47">
        <f t="shared" ca="1" si="386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7">Q539+Q542</f>
        <v>0</v>
      </c>
      <c r="R536" s="47">
        <f t="shared" ca="1" si="387"/>
        <v>0</v>
      </c>
      <c r="S536" s="47">
        <f t="shared" ca="1" si="387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7">
        <f t="shared" ref="L537:N537" ca="1" si="388">L538+L539</f>
        <v>0</v>
      </c>
      <c r="M537" s="47">
        <f t="shared" ca="1" si="388"/>
        <v>0</v>
      </c>
      <c r="N537" s="47">
        <f t="shared" ca="1" si="388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9">Q538+Q539</f>
        <v>0</v>
      </c>
      <c r="R537" s="47">
        <f t="shared" ca="1" si="389"/>
        <v>0</v>
      </c>
      <c r="S537" s="47">
        <f t="shared" ca="1" si="389"/>
        <v>0</v>
      </c>
      <c r="T537" s="47">
        <f t="shared" ca="1" si="382"/>
        <v>0</v>
      </c>
      <c r="U537" s="47">
        <f t="shared" ca="1" si="383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379"/>
        <v>0</v>
      </c>
      <c r="P538" s="49">
        <f t="shared" ca="1" si="380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382"/>
        <v>0</v>
      </c>
      <c r="U538" s="49">
        <f t="shared" ca="1" si="383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7">
        <f t="shared" ref="L540:N540" ca="1" si="390">L541+L542</f>
        <v>0</v>
      </c>
      <c r="M540" s="47">
        <f t="shared" ca="1" si="390"/>
        <v>0</v>
      </c>
      <c r="N540" s="47">
        <f t="shared" ca="1" si="390"/>
        <v>0</v>
      </c>
      <c r="O540" s="47">
        <f t="shared" ca="1" si="379"/>
        <v>0</v>
      </c>
      <c r="P540" s="47">
        <f t="shared" ca="1" si="380"/>
        <v>0</v>
      </c>
      <c r="Q540" s="47">
        <f t="shared" ref="Q540:S540" ca="1" si="391">Q541+Q542</f>
        <v>0</v>
      </c>
      <c r="R540" s="47">
        <f t="shared" ca="1" si="391"/>
        <v>0</v>
      </c>
      <c r="S540" s="47">
        <f t="shared" ca="1" si="391"/>
        <v>0</v>
      </c>
      <c r="T540" s="47">
        <f t="shared" ca="1" si="382"/>
        <v>0</v>
      </c>
      <c r="U540" s="47">
        <f t="shared" ca="1" si="383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379"/>
        <v>0</v>
      </c>
      <c r="P541" s="49">
        <f t="shared" ca="1" si="380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382"/>
        <v>0</v>
      </c>
      <c r="U541" s="49">
        <f t="shared" ca="1" si="383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382"/>
        <v>0</v>
      </c>
      <c r="U542" s="47">
        <f t="shared" ca="1" si="383"/>
        <v>0</v>
      </c>
    </row>
    <row r="543" spans="1:21" ht="19.5" x14ac:dyDescent="0.3">
      <c r="A543" s="138"/>
      <c r="B543" s="139"/>
      <c r="C543" s="386" t="s">
        <v>18</v>
      </c>
      <c r="D543" s="140" t="s">
        <v>38</v>
      </c>
      <c r="E543" s="141"/>
      <c r="F543" s="141"/>
      <c r="G543" s="142"/>
      <c r="H543" s="143"/>
      <c r="I543" s="135"/>
      <c r="J543" s="45"/>
      <c r="K543" s="46"/>
      <c r="L543" s="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8.75" x14ac:dyDescent="0.25">
      <c r="A544" s="387"/>
      <c r="B544" s="388"/>
      <c r="C544" s="342"/>
      <c r="D544" s="389" t="s">
        <v>209</v>
      </c>
      <c r="E544" s="342"/>
      <c r="F544" s="388"/>
      <c r="G544" s="390"/>
      <c r="H544" s="391" t="s">
        <v>61</v>
      </c>
      <c r="I544" s="392">
        <v>0</v>
      </c>
      <c r="J544" s="392">
        <v>0</v>
      </c>
      <c r="K544" s="176">
        <f>IF(I544&gt;0,J544*100/I544,0)</f>
        <v>0</v>
      </c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385">
        <f t="shared" ref="I554:J554" si="392">I566</f>
        <v>0</v>
      </c>
      <c r="J554" s="385">
        <f t="shared" si="392"/>
        <v>0</v>
      </c>
      <c r="K554" s="377">
        <f>IF(I554&gt;0,J554*100/I554,0)</f>
        <v>0</v>
      </c>
      <c r="L554" s="378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13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132">
        <f t="shared" ref="L555:N555" ca="1" si="393">L556+L557</f>
        <v>0</v>
      </c>
      <c r="M555" s="132">
        <f t="shared" ca="1" si="393"/>
        <v>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">
        <f t="shared" ref="L556:N556" ca="1" si="399">L559+L562</f>
        <v>0</v>
      </c>
      <c r="M556" s="49">
        <f t="shared" ca="1" si="399"/>
        <v>0</v>
      </c>
      <c r="N556" s="49">
        <f t="shared" ca="1" si="399"/>
        <v>0</v>
      </c>
      <c r="O556" s="49">
        <f t="shared" ca="1" si="394"/>
        <v>0</v>
      </c>
      <c r="P556" s="49">
        <f t="shared" ca="1" si="395"/>
        <v>0</v>
      </c>
      <c r="Q556" s="49">
        <f t="shared" ref="Q556:S556" ca="1" si="400">Q559+Q562</f>
        <v>0</v>
      </c>
      <c r="R556" s="49">
        <f t="shared" ca="1" si="400"/>
        <v>0</v>
      </c>
      <c r="S556" s="49">
        <f t="shared" ca="1" si="400"/>
        <v>0</v>
      </c>
      <c r="T556" s="49">
        <f t="shared" ca="1" si="397"/>
        <v>0</v>
      </c>
      <c r="U556" s="49">
        <f t="shared" ca="1" si="398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7">
        <f t="shared" ref="L557:N557" ca="1" si="401">L560+L563</f>
        <v>0</v>
      </c>
      <c r="M557" s="47">
        <f t="shared" ca="1" si="401"/>
        <v>0</v>
      </c>
      <c r="N557" s="47">
        <f t="shared" ca="1" si="401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2">Q560+Q563</f>
        <v>0</v>
      </c>
      <c r="R557" s="47">
        <f t="shared" ca="1" si="402"/>
        <v>0</v>
      </c>
      <c r="S557" s="47">
        <f t="shared" ca="1" si="402"/>
        <v>0</v>
      </c>
      <c r="T557" s="47">
        <f t="shared" ca="1" si="397"/>
        <v>0</v>
      </c>
      <c r="U557" s="47">
        <f t="shared" ca="1" si="398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7">
        <f t="shared" ref="L558:N558" ca="1" si="403">L559+L560</f>
        <v>0</v>
      </c>
      <c r="M558" s="47">
        <f t="shared" ca="1" si="403"/>
        <v>0</v>
      </c>
      <c r="N558" s="47">
        <f t="shared" ca="1" si="403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4">Q559+Q560</f>
        <v>0</v>
      </c>
      <c r="R558" s="47">
        <f t="shared" ca="1" si="404"/>
        <v>0</v>
      </c>
      <c r="S558" s="47">
        <f t="shared" ca="1" si="404"/>
        <v>0</v>
      </c>
      <c r="T558" s="47">
        <f t="shared" ca="1" si="397"/>
        <v>0</v>
      </c>
      <c r="U558" s="47">
        <f t="shared" ca="1" si="398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394"/>
        <v>0</v>
      </c>
      <c r="P559" s="49">
        <f t="shared" ca="1" si="395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397"/>
        <v>0</v>
      </c>
      <c r="U559" s="49">
        <f t="shared" ca="1" si="398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7">
        <f t="shared" ref="L561:N561" ca="1" si="405">L562+L563</f>
        <v>0</v>
      </c>
      <c r="M561" s="47">
        <f t="shared" ca="1" si="405"/>
        <v>0</v>
      </c>
      <c r="N561" s="47">
        <f t="shared" ca="1" si="405"/>
        <v>0</v>
      </c>
      <c r="O561" s="47">
        <f t="shared" ca="1" si="394"/>
        <v>0</v>
      </c>
      <c r="P561" s="47">
        <f t="shared" ca="1" si="395"/>
        <v>0</v>
      </c>
      <c r="Q561" s="47">
        <f t="shared" ref="Q561:S561" ca="1" si="406">Q562+Q563</f>
        <v>0</v>
      </c>
      <c r="R561" s="47">
        <f t="shared" ca="1" si="406"/>
        <v>0</v>
      </c>
      <c r="S561" s="47">
        <f t="shared" ca="1" si="406"/>
        <v>0</v>
      </c>
      <c r="T561" s="47">
        <f t="shared" ca="1" si="397"/>
        <v>0</v>
      </c>
      <c r="U561" s="47">
        <f t="shared" ca="1" si="398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394"/>
        <v>0</v>
      </c>
      <c r="P562" s="49">
        <f t="shared" ca="1" si="395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397"/>
        <v>0</v>
      </c>
      <c r="U562" s="49">
        <f t="shared" ca="1" si="398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397"/>
        <v>0</v>
      </c>
      <c r="U563" s="47">
        <f t="shared" ca="1" si="398"/>
        <v>0</v>
      </c>
    </row>
    <row r="564" spans="1:21" ht="19.5" hidden="1" x14ac:dyDescent="0.3">
      <c r="A564" s="138"/>
      <c r="B564" s="139"/>
      <c r="C564" s="386" t="s">
        <v>18</v>
      </c>
      <c r="D564" s="140" t="s">
        <v>38</v>
      </c>
      <c r="E564" s="141"/>
      <c r="F564" s="141"/>
      <c r="G564" s="142"/>
      <c r="H564" s="143"/>
      <c r="I564" s="135"/>
      <c r="J564" s="45"/>
      <c r="K564" s="46"/>
      <c r="L564" s="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93" t="s">
        <v>212</v>
      </c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 t="shared" ref="I575:J575" ca="1" si="407">I587</f>
        <v>48</v>
      </c>
      <c r="J575" s="385">
        <f t="shared" ca="1" si="407"/>
        <v>0</v>
      </c>
      <c r="K575" s="377">
        <f ca="1">IF(I575&gt;0,J575*100/I575,0)</f>
        <v>0</v>
      </c>
      <c r="L575" s="378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13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132">
        <f t="shared" ref="L576:N576" ca="1" si="408">L577+L578</f>
        <v>2615011</v>
      </c>
      <c r="M576" s="132">
        <f t="shared" ca="1" si="408"/>
        <v>2615011</v>
      </c>
      <c r="N576" s="132">
        <f t="shared" ca="1" si="408"/>
        <v>727411.25</v>
      </c>
      <c r="O576" s="132">
        <f t="shared" ref="O576:O584" ca="1" si="409">IF(L576&gt;0,N576*100/L576,0)</f>
        <v>27.816756793757271</v>
      </c>
      <c r="P576" s="132">
        <f t="shared" ref="P576:P584" ca="1" si="410">IF(M576&gt;0,N576*100/M576,0)</f>
        <v>27.816756793757271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">
        <f t="shared" ref="L577:N577" ca="1" si="414">L580+L583</f>
        <v>0</v>
      </c>
      <c r="M577" s="49">
        <f t="shared" ca="1" si="414"/>
        <v>0</v>
      </c>
      <c r="N577" s="49">
        <f t="shared" ca="1" si="414"/>
        <v>0</v>
      </c>
      <c r="O577" s="49">
        <f t="shared" ca="1" si="409"/>
        <v>0</v>
      </c>
      <c r="P577" s="49">
        <f t="shared" ca="1" si="410"/>
        <v>0</v>
      </c>
      <c r="Q577" s="49">
        <f t="shared" ref="Q577:S577" ca="1" si="415">Q580+Q583</f>
        <v>0</v>
      </c>
      <c r="R577" s="49">
        <f t="shared" ca="1" si="415"/>
        <v>0</v>
      </c>
      <c r="S577" s="49">
        <f t="shared" ca="1" si="415"/>
        <v>0</v>
      </c>
      <c r="T577" s="49">
        <f t="shared" ca="1" si="412"/>
        <v>0</v>
      </c>
      <c r="U577" s="49">
        <f t="shared" ca="1" si="413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7">
        <f t="shared" ref="L578:N578" ca="1" si="416">L581+L584</f>
        <v>2615011</v>
      </c>
      <c r="M578" s="47">
        <f t="shared" ca="1" si="416"/>
        <v>2615011</v>
      </c>
      <c r="N578" s="47">
        <f t="shared" ca="1" si="416"/>
        <v>727411.25</v>
      </c>
      <c r="O578" s="47">
        <f t="shared" ca="1" si="409"/>
        <v>27.816756793757271</v>
      </c>
      <c r="P578" s="47">
        <f t="shared" ca="1" si="410"/>
        <v>27.816756793757271</v>
      </c>
      <c r="Q578" s="47">
        <f t="shared" ref="Q578:S578" ca="1" si="417">Q581+Q584</f>
        <v>0</v>
      </c>
      <c r="R578" s="47">
        <f t="shared" ca="1" si="417"/>
        <v>0</v>
      </c>
      <c r="S578" s="47">
        <f t="shared" ca="1" si="417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7">
        <f t="shared" ref="L579:N579" ca="1" si="418">L580+L581</f>
        <v>2615011</v>
      </c>
      <c r="M579" s="47">
        <f t="shared" ca="1" si="418"/>
        <v>2615011</v>
      </c>
      <c r="N579" s="47">
        <f t="shared" ca="1" si="418"/>
        <v>727411.25</v>
      </c>
      <c r="O579" s="47">
        <f t="shared" ca="1" si="409"/>
        <v>27.816756793757271</v>
      </c>
      <c r="P579" s="47">
        <f t="shared" ca="1" si="410"/>
        <v>27.816756793757271</v>
      </c>
      <c r="Q579" s="47">
        <f t="shared" ref="Q579:S579" ca="1" si="419">Q580+Q581</f>
        <v>0</v>
      </c>
      <c r="R579" s="47">
        <f t="shared" ca="1" si="419"/>
        <v>0</v>
      </c>
      <c r="S579" s="47">
        <f t="shared" ca="1" si="419"/>
        <v>0</v>
      </c>
      <c r="T579" s="47">
        <f t="shared" ca="1" si="412"/>
        <v>0</v>
      </c>
      <c r="U579" s="47">
        <f t="shared" ca="1" si="413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409"/>
        <v>0</v>
      </c>
      <c r="P580" s="49">
        <f t="shared" ca="1" si="410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412"/>
        <v>0</v>
      </c>
      <c r="U580" s="49">
        <f t="shared" ca="1" si="413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2615011)</f>
        <v>2615011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2615011)</f>
        <v>2615011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727411.25)</f>
        <v>727411.25</v>
      </c>
      <c r="O581" s="47">
        <f t="shared" ca="1" si="409"/>
        <v>27.816756793757271</v>
      </c>
      <c r="P581" s="47">
        <f t="shared" ca="1" si="410"/>
        <v>27.816756793757271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7">
        <f t="shared" ref="L582:N582" ca="1" si="420">L583+L584</f>
        <v>0</v>
      </c>
      <c r="M582" s="47">
        <f t="shared" ca="1" si="420"/>
        <v>0</v>
      </c>
      <c r="N582" s="47">
        <f t="shared" ca="1" si="420"/>
        <v>0</v>
      </c>
      <c r="O582" s="47">
        <f t="shared" ca="1" si="409"/>
        <v>0</v>
      </c>
      <c r="P582" s="47">
        <f t="shared" ca="1" si="410"/>
        <v>0</v>
      </c>
      <c r="Q582" s="47">
        <f t="shared" ref="Q582:S582" ca="1" si="421">Q583+Q584</f>
        <v>0</v>
      </c>
      <c r="R582" s="47">
        <f t="shared" ca="1" si="421"/>
        <v>0</v>
      </c>
      <c r="S582" s="47">
        <f t="shared" ca="1" si="421"/>
        <v>0</v>
      </c>
      <c r="T582" s="47">
        <f t="shared" ca="1" si="412"/>
        <v>0</v>
      </c>
      <c r="U582" s="47">
        <f t="shared" ca="1" si="413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409"/>
        <v>0</v>
      </c>
      <c r="P583" s="49">
        <f t="shared" ca="1" si="410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412"/>
        <v>0</v>
      </c>
      <c r="U583" s="49">
        <f t="shared" ca="1" si="413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412"/>
        <v>0</v>
      </c>
      <c r="U584" s="47">
        <f t="shared" ca="1" si="413"/>
        <v>0</v>
      </c>
    </row>
    <row r="585" spans="1:21" ht="19.5" x14ac:dyDescent="0.3">
      <c r="A585" s="138"/>
      <c r="B585" s="139"/>
      <c r="C585" s="386" t="s">
        <v>18</v>
      </c>
      <c r="D585" s="140" t="s">
        <v>38</v>
      </c>
      <c r="E585" s="141"/>
      <c r="F585" s="141"/>
      <c r="G585" s="142"/>
      <c r="H585" s="143"/>
      <c r="I585" s="135"/>
      <c r="J585" s="45"/>
      <c r="K585" s="46"/>
      <c r="L585" s="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f ca="1">IFERROR(__xludf.DUMMYFUNCTION("IMPORTRANGE(""https://docs.google.com/spreadsheets/d/1kKUcYdkIfrgTSj8iHHHB2MD2FAtwyyocFgqGQn6ADyI/edit?usp=sharing"",""กระบี่!I586"")+IMPORTRANGE(""https://docs.google.com/spreadsheets/d/1GwtLaSlNZkLk7iDqcyZz22giiy40b_usZZBXYciEN1U/edit?usp=sharing"",""ชุ"&amp;"มพร!I586"")+IMPORTRANGE(""https://docs.google.com/spreadsheets/d/1Dj4jcHCTV9JXKCaMoheSXS52JE63kDKyG7bPXnFogHk/edit?usp=sharing"",""นครศรีธรรมราช!I586"")+IMPORTRANGE(""https://docs.google.com/spreadsheets/d/17ht0gPKzzT3PObBL1XJkeRmntBXI7wGjpLV7QorqlTk/edit"&amp;"?usp=sharing"",""พัทลุง!I586"")+IMPORTRANGE(""https://docs.google.com/spreadsheets/d/18T20gbkS_WBjdscyTOV05cvq_JqvqQ17C81mpxf7Ncs/edit?usp=sharing"",""สุราษฎร์ธานี!I586"")"),12)</f>
        <v>12</v>
      </c>
      <c r="J586" s="175">
        <f ca="1">IFERROR(__xludf.DUMMYFUNCTION("IMPORTRANGE(""https://docs.google.com/spreadsheets/d/1kKUcYdkIfrgTSj8iHHHB2MD2FAtwyyocFgqGQn6ADyI/edit?usp=sharing"",""กระบี่!J586"")+IMPORTRANGE(""https://docs.google.com/spreadsheets/d/1GwtLaSlNZkLk7iDqcyZz22giiy40b_usZZBXYciEN1U/edit?usp=sharing"",""ชุ"&amp;"มพร!J586"")+IMPORTRANGE(""https://docs.google.com/spreadsheets/d/1Dj4jcHCTV9JXKCaMoheSXS52JE63kDKyG7bPXnFogHk/edit?usp=sharing"",""นครศรีธรรมราช!J586"")+IMPORTRANGE(""https://docs.google.com/spreadsheets/d/17ht0gPKzzT3PObBL1XJkeRmntBXI7wGjpLV7QorqlTk/edit"&amp;"?usp=sharing"",""พัทลุง!J586"")+IMPORTRANGE(""https://docs.google.com/spreadsheets/d/18T20gbkS_WBjdscyTOV05cvq_JqvqQ17C81mpxf7Ncs/edit?usp=sharing"",""สุราษฎร์ธานี!J586"")"),0)</f>
        <v>0</v>
      </c>
      <c r="K586" s="176">
        <f t="shared" ref="K586:K587" ca="1" si="422"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f ca="1">IFERROR(__xludf.DUMMYFUNCTION("IMPORTRANGE(""https://docs.google.com/spreadsheets/d/1kKUcYdkIfrgTSj8iHHHB2MD2FAtwyyocFgqGQn6ADyI/edit?usp=sharing"",""กระบี่!I587"")+IMPORTRANGE(""https://docs.google.com/spreadsheets/d/1GwtLaSlNZkLk7iDqcyZz22giiy40b_usZZBXYciEN1U/edit?usp=sharing"",""ชุ"&amp;"มพร!I587"")+IMPORTRANGE(""https://docs.google.com/spreadsheets/d/1Dj4jcHCTV9JXKCaMoheSXS52JE63kDKyG7bPXnFogHk/edit?usp=sharing"",""นครศรีธรรมราช!I587"")+IMPORTRANGE(""https://docs.google.com/spreadsheets/d/17ht0gPKzzT3PObBL1XJkeRmntBXI7wGjpLV7QorqlTk/edit"&amp;"?usp=sharing"",""พัทลุง!I587"")+IMPORTRANGE(""https://docs.google.com/spreadsheets/d/18T20gbkS_WBjdscyTOV05cvq_JqvqQ17C81mpxf7Ncs/edit?usp=sharing"",""สุราษฎร์ธานี!I587"")"),48)</f>
        <v>48</v>
      </c>
      <c r="J587" s="167">
        <f ca="1">IFERROR(__xludf.DUMMYFUNCTION("IMPORTRANGE(""https://docs.google.com/spreadsheets/d/1kKUcYdkIfrgTSj8iHHHB2MD2FAtwyyocFgqGQn6ADyI/edit?usp=sharing"",""กระบี่!J587"")+IMPORTRANGE(""https://docs.google.com/spreadsheets/d/1GwtLaSlNZkLk7iDqcyZz22giiy40b_usZZBXYciEN1U/edit?usp=sharing"",""ชุ"&amp;"มพร!J587"")+IMPORTRANGE(""https://docs.google.com/spreadsheets/d/1Dj4jcHCTV9JXKCaMoheSXS52JE63kDKyG7bPXnFogHk/edit?usp=sharing"",""นครศรีธรรมราช!J587"")+IMPORTRANGE(""https://docs.google.com/spreadsheets/d/17ht0gPKzzT3PObBL1XJkeRmntBXI7wGjpLV7QorqlTk/edit"&amp;"?usp=sharing"",""พัทลุง!J587"")+IMPORTRANGE(""https://docs.google.com/spreadsheets/d/18T20gbkS_WBjdscyTOV05cvq_JqvqQ17C81mpxf7Ncs/edit?usp=sharing"",""สุราษฎร์ธานี!J587"")"),0)</f>
        <v>0</v>
      </c>
      <c r="K587" s="47">
        <f t="shared" ca="1" si="422"/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411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411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421">
        <f t="shared" ref="L599:N599" ca="1" si="423">L600+L601</f>
        <v>69050</v>
      </c>
      <c r="M599" s="421">
        <f t="shared" ca="1" si="423"/>
        <v>69050</v>
      </c>
      <c r="N599" s="421">
        <f t="shared" ca="1" si="423"/>
        <v>15084</v>
      </c>
      <c r="O599" s="421">
        <f t="shared" ref="O599:O607" ca="1" si="424">IF(L599&gt;0,N599*100/L599,0)</f>
        <v>21.84503982621289</v>
      </c>
      <c r="P599" s="421">
        <f t="shared" ref="P599:P607" ca="1" si="425">IF(M599&gt;0,N599*100/M599,0)</f>
        <v>21.84503982621289</v>
      </c>
      <c r="Q599" s="421">
        <f t="shared" ref="Q599:S599" ca="1" si="426">Q600+Q601</f>
        <v>0</v>
      </c>
      <c r="R599" s="421">
        <f t="shared" ca="1" si="426"/>
        <v>0</v>
      </c>
      <c r="S599" s="421">
        <f t="shared" ca="1" si="426"/>
        <v>0</v>
      </c>
      <c r="T599" s="421">
        <f t="shared" ref="T599:T607" ca="1" si="427">IF(Q599&gt;0,S599*100/Q599,0)</f>
        <v>0</v>
      </c>
      <c r="U599" s="421">
        <f t="shared" ref="U599:U607" ca="1" si="428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331">
        <f t="shared" ref="L600:N600" ca="1" si="429">L603+L606</f>
        <v>0</v>
      </c>
      <c r="M600" s="331">
        <f t="shared" ca="1" si="429"/>
        <v>0</v>
      </c>
      <c r="N600" s="331">
        <f t="shared" ca="1" si="429"/>
        <v>0</v>
      </c>
      <c r="O600" s="331">
        <f t="shared" ca="1" si="424"/>
        <v>0</v>
      </c>
      <c r="P600" s="331">
        <f t="shared" ca="1" si="425"/>
        <v>0</v>
      </c>
      <c r="Q600" s="331">
        <f t="shared" ref="Q600:S600" ca="1" si="430">Q603+Q606</f>
        <v>0</v>
      </c>
      <c r="R600" s="331">
        <f t="shared" ca="1" si="430"/>
        <v>0</v>
      </c>
      <c r="S600" s="331">
        <f t="shared" ca="1" si="430"/>
        <v>0</v>
      </c>
      <c r="T600" s="331">
        <f t="shared" ca="1" si="427"/>
        <v>0</v>
      </c>
      <c r="U600" s="331">
        <f t="shared" ca="1" si="428"/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331">
        <f t="shared" ref="L601:N601" ca="1" si="431">L604+L607</f>
        <v>69050</v>
      </c>
      <c r="M601" s="331">
        <f t="shared" ca="1" si="431"/>
        <v>69050</v>
      </c>
      <c r="N601" s="331">
        <f t="shared" ca="1" si="431"/>
        <v>15084</v>
      </c>
      <c r="O601" s="331">
        <f t="shared" ca="1" si="424"/>
        <v>21.84503982621289</v>
      </c>
      <c r="P601" s="331">
        <f t="shared" ca="1" si="425"/>
        <v>21.84503982621289</v>
      </c>
      <c r="Q601" s="331">
        <f t="shared" ref="Q601:S601" ca="1" si="432">Q604+Q607</f>
        <v>0</v>
      </c>
      <c r="R601" s="331">
        <f t="shared" ca="1" si="432"/>
        <v>0</v>
      </c>
      <c r="S601" s="331">
        <f t="shared" ca="1" si="432"/>
        <v>0</v>
      </c>
      <c r="T601" s="331">
        <f t="shared" ca="1" si="427"/>
        <v>0</v>
      </c>
      <c r="U601" s="331">
        <f t="shared" ca="1" si="428"/>
        <v>0</v>
      </c>
    </row>
    <row r="602" spans="1:21" ht="19.5" x14ac:dyDescent="0.3">
      <c r="A602" s="416"/>
      <c r="B602" s="326"/>
      <c r="C602" s="326"/>
      <c r="D602" s="427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331">
        <f t="shared" ref="L602:N602" ca="1" si="433">L603+L604</f>
        <v>69050</v>
      </c>
      <c r="M602" s="331">
        <f t="shared" ca="1" si="433"/>
        <v>69050</v>
      </c>
      <c r="N602" s="331">
        <f t="shared" ca="1" si="433"/>
        <v>15084</v>
      </c>
      <c r="O602" s="331">
        <f t="shared" ca="1" si="424"/>
        <v>21.84503982621289</v>
      </c>
      <c r="P602" s="331">
        <f t="shared" ca="1" si="425"/>
        <v>21.84503982621289</v>
      </c>
      <c r="Q602" s="331">
        <f t="shared" ref="Q602:S602" ca="1" si="434">Q603+Q604</f>
        <v>0</v>
      </c>
      <c r="R602" s="331">
        <f t="shared" ca="1" si="434"/>
        <v>0</v>
      </c>
      <c r="S602" s="331">
        <f t="shared" ca="1" si="434"/>
        <v>0</v>
      </c>
      <c r="T602" s="331">
        <f t="shared" ca="1" si="427"/>
        <v>0</v>
      </c>
      <c r="U602" s="331">
        <f t="shared" ca="1" si="428"/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331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331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331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331">
        <f t="shared" ca="1" si="424"/>
        <v>0</v>
      </c>
      <c r="P603" s="331">
        <f t="shared" ca="1" si="425"/>
        <v>0</v>
      </c>
      <c r="Q603" s="331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331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331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331">
        <f t="shared" ca="1" si="427"/>
        <v>0</v>
      </c>
      <c r="U603" s="331">
        <f t="shared" ca="1" si="428"/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331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69050)</f>
        <v>69050</v>
      </c>
      <c r="M604" s="331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69050)</f>
        <v>69050</v>
      </c>
      <c r="N604" s="331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15084)</f>
        <v>15084</v>
      </c>
      <c r="O604" s="331">
        <f t="shared" ca="1" si="424"/>
        <v>21.84503982621289</v>
      </c>
      <c r="P604" s="331">
        <f t="shared" ca="1" si="425"/>
        <v>21.84503982621289</v>
      </c>
      <c r="Q604" s="331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331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331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331">
        <f t="shared" ca="1" si="427"/>
        <v>0</v>
      </c>
      <c r="U604" s="331">
        <f t="shared" ca="1" si="428"/>
        <v>0</v>
      </c>
    </row>
    <row r="605" spans="1:21" ht="19.5" x14ac:dyDescent="0.3">
      <c r="A605" s="416"/>
      <c r="B605" s="326"/>
      <c r="C605" s="326"/>
      <c r="D605" s="427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331">
        <f t="shared" ref="L605:N605" ca="1" si="435">L606+L607</f>
        <v>0</v>
      </c>
      <c r="M605" s="331">
        <f t="shared" ca="1" si="435"/>
        <v>0</v>
      </c>
      <c r="N605" s="331">
        <f t="shared" ca="1" si="435"/>
        <v>0</v>
      </c>
      <c r="O605" s="331">
        <f t="shared" ca="1" si="424"/>
        <v>0</v>
      </c>
      <c r="P605" s="331">
        <f t="shared" ca="1" si="425"/>
        <v>0</v>
      </c>
      <c r="Q605" s="331">
        <f t="shared" ref="Q605:S605" ca="1" si="436">Q606+Q607</f>
        <v>0</v>
      </c>
      <c r="R605" s="331">
        <f t="shared" ca="1" si="436"/>
        <v>0</v>
      </c>
      <c r="S605" s="331">
        <f t="shared" ca="1" si="436"/>
        <v>0</v>
      </c>
      <c r="T605" s="331">
        <f t="shared" ca="1" si="427"/>
        <v>0</v>
      </c>
      <c r="U605" s="331">
        <f t="shared" ca="1" si="428"/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331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331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331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331">
        <f t="shared" ca="1" si="424"/>
        <v>0</v>
      </c>
      <c r="P606" s="331">
        <f t="shared" ca="1" si="425"/>
        <v>0</v>
      </c>
      <c r="Q606" s="331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331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331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331">
        <f t="shared" ca="1" si="427"/>
        <v>0</v>
      </c>
      <c r="U606" s="331">
        <f t="shared" ca="1" si="428"/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331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331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331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331">
        <f t="shared" ca="1" si="424"/>
        <v>0</v>
      </c>
      <c r="P607" s="331">
        <f t="shared" ca="1" si="425"/>
        <v>0</v>
      </c>
      <c r="Q607" s="331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331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331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331">
        <f t="shared" ca="1" si="427"/>
        <v>0</v>
      </c>
      <c r="U607" s="331">
        <f t="shared" ca="1" si="428"/>
        <v>0</v>
      </c>
    </row>
    <row r="608" spans="1:21" ht="19.5" hidden="1" x14ac:dyDescent="0.3">
      <c r="A608" s="432"/>
      <c r="B608" s="433"/>
      <c r="C608" s="417" t="s">
        <v>18</v>
      </c>
      <c r="D608" s="434" t="s">
        <v>38</v>
      </c>
      <c r="E608" s="435"/>
      <c r="F608" s="435"/>
      <c r="G608" s="436"/>
      <c r="H608" s="437"/>
      <c r="I608" s="428"/>
      <c r="J608" s="428"/>
      <c r="K608" s="429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8.75" hidden="1" x14ac:dyDescent="0.25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448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46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t="shared" ref="I615:J615" ca="1" si="437">I626</f>
        <v>550</v>
      </c>
      <c r="J615" s="468">
        <f t="shared" ca="1" si="437"/>
        <v>0</v>
      </c>
      <c r="K615" s="469">
        <f ca="1">IF(I615&gt;0,J615*100/I615,0)</f>
        <v>0</v>
      </c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32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132">
        <f t="shared" ref="L616:N616" ca="1" si="438">L617+L618</f>
        <v>0</v>
      </c>
      <c r="M616" s="132">
        <f t="shared" ca="1" si="438"/>
        <v>0</v>
      </c>
      <c r="N616" s="132">
        <f t="shared" ca="1" si="438"/>
        <v>0</v>
      </c>
      <c r="O616" s="132">
        <f t="shared" ref="O616:O624" ca="1" si="439">IF(L616&gt;0,N616*100/L616,0)</f>
        <v>0</v>
      </c>
      <c r="P616" s="132">
        <f t="shared" ref="P616:P624" ca="1" si="440">IF(M616&gt;0,N616*100/M616,0)</f>
        <v>0</v>
      </c>
      <c r="Q616" s="132">
        <f t="shared" ref="Q616:S616" ca="1" si="441">Q617+Q618</f>
        <v>83175</v>
      </c>
      <c r="R616" s="132">
        <f t="shared" ca="1" si="441"/>
        <v>83175</v>
      </c>
      <c r="S616" s="132">
        <f t="shared" ca="1" si="441"/>
        <v>21761</v>
      </c>
      <c r="T616" s="132">
        <f t="shared" ref="T616:T624" ca="1" si="442">IF(Q616&gt;0,S616*100/Q616,0)</f>
        <v>26.162909528103395</v>
      </c>
      <c r="U616" s="132">
        <f t="shared" ref="U616:U624" ca="1" si="443">IF(R616&gt;0,S616*100/R616,0)</f>
        <v>26.162909528103395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">
        <f t="shared" ref="L617:N617" ca="1" si="444">L620+L623</f>
        <v>0</v>
      </c>
      <c r="M617" s="49">
        <f t="shared" ca="1" si="444"/>
        <v>0</v>
      </c>
      <c r="N617" s="49">
        <f t="shared" ca="1" si="444"/>
        <v>0</v>
      </c>
      <c r="O617" s="49">
        <f t="shared" ca="1" si="439"/>
        <v>0</v>
      </c>
      <c r="P617" s="49">
        <f t="shared" ca="1" si="440"/>
        <v>0</v>
      </c>
      <c r="Q617" s="49">
        <f t="shared" ref="Q617:S617" ca="1" si="445">Q620+Q623</f>
        <v>0</v>
      </c>
      <c r="R617" s="49">
        <f t="shared" ca="1" si="445"/>
        <v>0</v>
      </c>
      <c r="S617" s="49">
        <f t="shared" ca="1" si="445"/>
        <v>0</v>
      </c>
      <c r="T617" s="49">
        <f t="shared" ca="1" si="442"/>
        <v>0</v>
      </c>
      <c r="U617" s="49">
        <f t="shared" ca="1" si="443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7">
        <f t="shared" ref="L618:N618" ca="1" si="446">L621+L624</f>
        <v>0</v>
      </c>
      <c r="M618" s="47">
        <f t="shared" ca="1" si="446"/>
        <v>0</v>
      </c>
      <c r="N618" s="47">
        <f t="shared" ca="1" si="446"/>
        <v>0</v>
      </c>
      <c r="O618" s="47">
        <f t="shared" ca="1" si="439"/>
        <v>0</v>
      </c>
      <c r="P618" s="47">
        <f t="shared" ca="1" si="440"/>
        <v>0</v>
      </c>
      <c r="Q618" s="47">
        <f t="shared" ref="Q618:S618" ca="1" si="447">Q621+Q624</f>
        <v>83175</v>
      </c>
      <c r="R618" s="47">
        <f t="shared" ca="1" si="447"/>
        <v>83175</v>
      </c>
      <c r="S618" s="47">
        <f t="shared" ca="1" si="447"/>
        <v>21761</v>
      </c>
      <c r="T618" s="47">
        <f t="shared" ca="1" si="442"/>
        <v>26.162909528103395</v>
      </c>
      <c r="U618" s="47">
        <f t="shared" ca="1" si="443"/>
        <v>26.162909528103395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7">
        <f t="shared" ref="L619:N619" ca="1" si="448">L620+L621</f>
        <v>0</v>
      </c>
      <c r="M619" s="47">
        <f t="shared" ca="1" si="448"/>
        <v>0</v>
      </c>
      <c r="N619" s="47">
        <f t="shared" ca="1" si="448"/>
        <v>0</v>
      </c>
      <c r="O619" s="47">
        <f t="shared" ca="1" si="439"/>
        <v>0</v>
      </c>
      <c r="P619" s="47">
        <f t="shared" ca="1" si="440"/>
        <v>0</v>
      </c>
      <c r="Q619" s="47">
        <f t="shared" ref="Q619:S619" ca="1" si="449">Q620+Q621</f>
        <v>83175</v>
      </c>
      <c r="R619" s="47">
        <f t="shared" ca="1" si="449"/>
        <v>83175</v>
      </c>
      <c r="S619" s="47">
        <f t="shared" ca="1" si="449"/>
        <v>21761</v>
      </c>
      <c r="T619" s="47">
        <f t="shared" ca="1" si="442"/>
        <v>26.162909528103395</v>
      </c>
      <c r="U619" s="47">
        <f t="shared" ca="1" si="443"/>
        <v>26.162909528103395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439"/>
        <v>0</v>
      </c>
      <c r="P620" s="49">
        <f t="shared" ca="1" si="440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442"/>
        <v>0</v>
      </c>
      <c r="U620" s="49">
        <f t="shared" ca="1" si="443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439"/>
        <v>0</v>
      </c>
      <c r="P621" s="47">
        <f t="shared" ca="1" si="440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21761)</f>
        <v>21761</v>
      </c>
      <c r="T621" s="47">
        <f t="shared" ca="1" si="442"/>
        <v>26.162909528103395</v>
      </c>
      <c r="U621" s="47">
        <f t="shared" ca="1" si="443"/>
        <v>26.162909528103395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7">
        <f t="shared" ref="L622:N622" ca="1" si="450">L623+L624</f>
        <v>0</v>
      </c>
      <c r="M622" s="47">
        <f t="shared" ca="1" si="450"/>
        <v>0</v>
      </c>
      <c r="N622" s="47">
        <f t="shared" ca="1" si="450"/>
        <v>0</v>
      </c>
      <c r="O622" s="47">
        <f t="shared" ca="1" si="439"/>
        <v>0</v>
      </c>
      <c r="P622" s="47">
        <f t="shared" ca="1" si="440"/>
        <v>0</v>
      </c>
      <c r="Q622" s="47">
        <f t="shared" ref="Q622:S622" ca="1" si="451">Q623+Q624</f>
        <v>0</v>
      </c>
      <c r="R622" s="47">
        <f t="shared" ca="1" si="451"/>
        <v>0</v>
      </c>
      <c r="S622" s="47">
        <f t="shared" ca="1" si="451"/>
        <v>0</v>
      </c>
      <c r="T622" s="47">
        <f t="shared" ca="1" si="442"/>
        <v>0</v>
      </c>
      <c r="U622" s="47">
        <f t="shared" ca="1" si="443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439"/>
        <v>0</v>
      </c>
      <c r="P623" s="49">
        <f t="shared" ca="1" si="440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442"/>
        <v>0</v>
      </c>
      <c r="U623" s="49">
        <f t="shared" ca="1" si="443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439"/>
        <v>0</v>
      </c>
      <c r="P624" s="47">
        <f t="shared" ca="1" si="440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442"/>
        <v>0</v>
      </c>
      <c r="U624" s="47">
        <f t="shared" ca="1" si="443"/>
        <v>0</v>
      </c>
    </row>
    <row r="625" spans="1:21" ht="19.5" x14ac:dyDescent="0.3">
      <c r="A625" s="138"/>
      <c r="B625" s="139"/>
      <c r="C625" s="188" t="s">
        <v>18</v>
      </c>
      <c r="D625" s="471" t="s">
        <v>38</v>
      </c>
      <c r="E625" s="141"/>
      <c r="F625" s="141"/>
      <c r="G625" s="142"/>
      <c r="H625" s="189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13)</f>
        <v>13</v>
      </c>
      <c r="K627" s="47">
        <f t="shared" ref="K627:K628" ca="1" si="452">IF(I627&gt;0,(J627*100)/I627,0)</f>
        <v>144.44444444444446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21)</f>
        <v>21</v>
      </c>
      <c r="K628" s="47">
        <f t="shared" ca="1" si="452"/>
        <v>233.33333333333334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29" s="47">
        <f t="shared" ref="K629:K631" ca="1" si="453">IF(I$626&gt;0,J629*100/I$626,0)</f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t="shared" ca="1" si="453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t="shared" ca="1" si="453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 ca="1">J637+J638</f>
        <v>0</v>
      </c>
      <c r="K636" s="4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470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218" t="s">
        <v>18</v>
      </c>
      <c r="D642" s="532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132">
        <f t="shared" ref="L642:N642" ca="1" si="454">L643+L644</f>
        <v>0</v>
      </c>
      <c r="M642" s="132">
        <f t="shared" ca="1" si="454"/>
        <v>0</v>
      </c>
      <c r="N642" s="132">
        <f t="shared" ca="1" si="454"/>
        <v>0</v>
      </c>
      <c r="O642" s="132">
        <f t="shared" ref="O642:O650" ca="1" si="455">IF(L642&gt;0,N642*100/L642,0)</f>
        <v>0</v>
      </c>
      <c r="P642" s="132">
        <f t="shared" ref="P642:P650" ca="1" si="456">IF(M642&gt;0,N642*100/M642,0)</f>
        <v>0</v>
      </c>
      <c r="Q642" s="132">
        <f t="shared" ref="Q642:S642" ca="1" si="457">Q643+Q644</f>
        <v>8200</v>
      </c>
      <c r="R642" s="132">
        <f t="shared" ca="1" si="457"/>
        <v>8200</v>
      </c>
      <c r="S642" s="132">
        <f t="shared" ca="1" si="457"/>
        <v>0</v>
      </c>
      <c r="T642" s="132">
        <f t="shared" ref="T642:T650" ca="1" si="458">IF(Q642&gt;0,S642*100/Q642,0)</f>
        <v>0</v>
      </c>
      <c r="U642" s="132">
        <f t="shared" ref="U642:U650" ca="1" si="459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">
        <f t="shared" ref="L643:N643" ca="1" si="460">L646+L649</f>
        <v>0</v>
      </c>
      <c r="M643" s="49">
        <f t="shared" ca="1" si="460"/>
        <v>0</v>
      </c>
      <c r="N643" s="49">
        <f t="shared" ca="1" si="460"/>
        <v>0</v>
      </c>
      <c r="O643" s="49">
        <f t="shared" ca="1" si="455"/>
        <v>0</v>
      </c>
      <c r="P643" s="49">
        <f t="shared" ca="1" si="456"/>
        <v>0</v>
      </c>
      <c r="Q643" s="49">
        <f t="shared" ref="Q643:S643" ca="1" si="461">Q646+Q649</f>
        <v>0</v>
      </c>
      <c r="R643" s="49">
        <f t="shared" ca="1" si="461"/>
        <v>0</v>
      </c>
      <c r="S643" s="49">
        <f t="shared" ca="1" si="461"/>
        <v>0</v>
      </c>
      <c r="T643" s="49">
        <f t="shared" ca="1" si="458"/>
        <v>0</v>
      </c>
      <c r="U643" s="49">
        <f t="shared" ca="1" si="459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7">
        <f t="shared" ref="L644:N644" ca="1" si="462">L647+L650</f>
        <v>0</v>
      </c>
      <c r="M644" s="47">
        <f t="shared" ca="1" si="462"/>
        <v>0</v>
      </c>
      <c r="N644" s="47">
        <f t="shared" ca="1" si="462"/>
        <v>0</v>
      </c>
      <c r="O644" s="47">
        <f t="shared" ca="1" si="455"/>
        <v>0</v>
      </c>
      <c r="P644" s="47">
        <f t="shared" ca="1" si="456"/>
        <v>0</v>
      </c>
      <c r="Q644" s="47">
        <f t="shared" ref="Q644:S644" ca="1" si="463">Q647+Q650</f>
        <v>8200</v>
      </c>
      <c r="R644" s="47">
        <f t="shared" ca="1" si="463"/>
        <v>8200</v>
      </c>
      <c r="S644" s="47">
        <f t="shared" ca="1" si="463"/>
        <v>0</v>
      </c>
      <c r="T644" s="47">
        <f t="shared" ca="1" si="458"/>
        <v>0</v>
      </c>
      <c r="U644" s="47">
        <f t="shared" ca="1" si="459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7">
        <f t="shared" ref="L645:N645" ca="1" si="464">L646+L647</f>
        <v>0</v>
      </c>
      <c r="M645" s="47">
        <f t="shared" ca="1" si="464"/>
        <v>0</v>
      </c>
      <c r="N645" s="47">
        <f t="shared" ca="1" si="464"/>
        <v>0</v>
      </c>
      <c r="O645" s="47">
        <f t="shared" ca="1" si="455"/>
        <v>0</v>
      </c>
      <c r="P645" s="47">
        <f t="shared" ca="1" si="456"/>
        <v>0</v>
      </c>
      <c r="Q645" s="47">
        <f t="shared" ref="Q645:S645" ca="1" si="465">Q646+Q647</f>
        <v>8200</v>
      </c>
      <c r="R645" s="47">
        <f t="shared" ca="1" si="465"/>
        <v>8200</v>
      </c>
      <c r="S645" s="47">
        <f t="shared" ca="1" si="465"/>
        <v>0</v>
      </c>
      <c r="T645" s="47">
        <f t="shared" ca="1" si="458"/>
        <v>0</v>
      </c>
      <c r="U645" s="47">
        <f t="shared" ca="1" si="459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455"/>
        <v>0</v>
      </c>
      <c r="P646" s="49">
        <f t="shared" ca="1" si="456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458"/>
        <v>0</v>
      </c>
      <c r="U646" s="49">
        <f t="shared" ca="1" si="459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455"/>
        <v>0</v>
      </c>
      <c r="P647" s="47">
        <f t="shared" ca="1" si="456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7" s="47">
        <f t="shared" ca="1" si="458"/>
        <v>0</v>
      </c>
      <c r="U647" s="47">
        <f t="shared" ca="1" si="459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7">
        <f t="shared" ref="L648:N648" ca="1" si="466">L649+L650</f>
        <v>0</v>
      </c>
      <c r="M648" s="47">
        <f t="shared" ca="1" si="466"/>
        <v>0</v>
      </c>
      <c r="N648" s="47">
        <f t="shared" ca="1" si="466"/>
        <v>0</v>
      </c>
      <c r="O648" s="47">
        <f t="shared" ca="1" si="455"/>
        <v>0</v>
      </c>
      <c r="P648" s="47">
        <f t="shared" ca="1" si="456"/>
        <v>0</v>
      </c>
      <c r="Q648" s="47">
        <f t="shared" ref="Q648:S648" ca="1" si="467">Q649+Q650</f>
        <v>0</v>
      </c>
      <c r="R648" s="47">
        <f t="shared" ca="1" si="467"/>
        <v>0</v>
      </c>
      <c r="S648" s="47">
        <f t="shared" ca="1" si="467"/>
        <v>0</v>
      </c>
      <c r="T648" s="47">
        <f t="shared" ca="1" si="458"/>
        <v>0</v>
      </c>
      <c r="U648" s="47">
        <f t="shared" ca="1" si="459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455"/>
        <v>0</v>
      </c>
      <c r="P649" s="49">
        <f t="shared" ca="1" si="456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458"/>
        <v>0</v>
      </c>
      <c r="U649" s="49">
        <f t="shared" ca="1" si="459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455"/>
        <v>0</v>
      </c>
      <c r="P650" s="47">
        <f t="shared" ca="1" si="456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458"/>
        <v>0</v>
      </c>
      <c r="U650" s="47">
        <f t="shared" ca="1" si="459"/>
        <v>0</v>
      </c>
    </row>
    <row r="651" spans="1:21" ht="19.5" x14ac:dyDescent="0.3">
      <c r="A651" s="138"/>
      <c r="B651" s="139"/>
      <c r="C651" s="218" t="s">
        <v>18</v>
      </c>
      <c r="D651" s="476" t="s">
        <v>38</v>
      </c>
      <c r="E651" s="141"/>
      <c r="F651" s="141"/>
      <c r="G651" s="142"/>
      <c r="H651" s="189"/>
      <c r="I651" s="135"/>
      <c r="J651" s="13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77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t="shared" ref="K652:K654" ca="1" si="468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77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t="shared" ca="1" si="468"/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7">
        <f ca="1">J657+J660</f>
        <v>0</v>
      </c>
      <c r="K654" s="132">
        <f t="shared" ca="1" si="468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7">
        <f ca="1">J667+J670</f>
        <v>0</v>
      </c>
      <c r="K661" s="132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479"/>
      <c r="M662" s="479"/>
      <c r="N662" s="479"/>
      <c r="O662" s="46"/>
      <c r="P662" s="46"/>
      <c r="Q662" s="479"/>
      <c r="R662" s="479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479"/>
      <c r="M663" s="479"/>
      <c r="N663" s="479"/>
      <c r="O663" s="46"/>
      <c r="P663" s="46"/>
      <c r="Q663" s="479"/>
      <c r="R663" s="479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479"/>
      <c r="M664" s="479"/>
      <c r="N664" s="479"/>
      <c r="O664" s="46"/>
      <c r="P664" s="46"/>
      <c r="Q664" s="479"/>
      <c r="R664" s="479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479"/>
      <c r="M665" s="479"/>
      <c r="N665" s="479"/>
      <c r="O665" s="46"/>
      <c r="P665" s="46"/>
      <c r="Q665" s="479"/>
      <c r="R665" s="479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479"/>
      <c r="M666" s="479"/>
      <c r="N666" s="479"/>
      <c r="O666" s="46"/>
      <c r="P666" s="46"/>
      <c r="Q666" s="479"/>
      <c r="R666" s="479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479"/>
      <c r="M667" s="479"/>
      <c r="N667" s="479"/>
      <c r="O667" s="46"/>
      <c r="P667" s="46"/>
      <c r="Q667" s="479"/>
      <c r="R667" s="479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479"/>
      <c r="M668" s="479"/>
      <c r="N668" s="479"/>
      <c r="O668" s="46"/>
      <c r="P668" s="46"/>
      <c r="Q668" s="479"/>
      <c r="R668" s="479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479"/>
      <c r="M669" s="479"/>
      <c r="N669" s="479"/>
      <c r="O669" s="46"/>
      <c r="P669" s="46"/>
      <c r="Q669" s="479"/>
      <c r="R669" s="479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479"/>
      <c r="M670" s="479"/>
      <c r="N670" s="479"/>
      <c r="O670" s="46"/>
      <c r="P670" s="46"/>
      <c r="Q670" s="479"/>
      <c r="R670" s="479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479"/>
      <c r="M672" s="479"/>
      <c r="N672" s="479"/>
      <c r="O672" s="46"/>
      <c r="P672" s="46"/>
      <c r="Q672" s="479"/>
      <c r="R672" s="479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77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t="shared" ref="K673:K676" ca="1" si="469">IF(I673&gt;0,J673*100/I673,0)</f>
        <v>0</v>
      </c>
      <c r="L673" s="479"/>
      <c r="M673" s="479"/>
      <c r="N673" s="479"/>
      <c r="O673" s="46"/>
      <c r="P673" s="46"/>
      <c r="Q673" s="479"/>
      <c r="R673" s="479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7">
        <f ca="1">J676+J679</f>
        <v>0</v>
      </c>
      <c r="K674" s="132">
        <f t="shared" ca="1" si="469"/>
        <v>0</v>
      </c>
      <c r="L674" s="479"/>
      <c r="M674" s="479"/>
      <c r="N674" s="479"/>
      <c r="O674" s="46"/>
      <c r="P674" s="46"/>
      <c r="Q674" s="479"/>
      <c r="R674" s="479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7">
        <f ca="1">J678+J681</f>
        <v>0</v>
      </c>
      <c r="K675" s="132">
        <f t="shared" ca="1" si="469"/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77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t="shared" ca="1" si="469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479"/>
      <c r="M677" s="479"/>
      <c r="N677" s="479"/>
      <c r="O677" s="46"/>
      <c r="P677" s="46"/>
      <c r="Q677" s="479"/>
      <c r="R677" s="479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77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t="shared" ref="K678:K679" ca="1" si="470">IF(I678&gt;0,J678*100/I678,0)</f>
        <v>0</v>
      </c>
      <c r="L678" s="479"/>
      <c r="M678" s="479"/>
      <c r="N678" s="479"/>
      <c r="O678" s="46"/>
      <c r="P678" s="46"/>
      <c r="Q678" s="479"/>
      <c r="R678" s="479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77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t="shared" ca="1" si="470"/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479"/>
      <c r="M680" s="479"/>
      <c r="N680" s="479"/>
      <c r="O680" s="46"/>
      <c r="P680" s="46"/>
      <c r="Q680" s="479"/>
      <c r="R680" s="479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77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t="shared" ref="K681:K682" ca="1" si="471">IF(I681&gt;0,J681*100/I681,0)</f>
        <v>0</v>
      </c>
      <c r="L681" s="479"/>
      <c r="M681" s="479"/>
      <c r="N681" s="479"/>
      <c r="O681" s="46"/>
      <c r="P681" s="46"/>
      <c r="Q681" s="479"/>
      <c r="R681" s="479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7">
        <f ca="1">J685+J688</f>
        <v>0</v>
      </c>
      <c r="K682" s="132">
        <f t="shared" ca="1" si="471"/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479"/>
      <c r="M683" s="479"/>
      <c r="N683" s="479"/>
      <c r="O683" s="46"/>
      <c r="P683" s="46"/>
      <c r="Q683" s="479"/>
      <c r="R683" s="479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479"/>
      <c r="M684" s="479"/>
      <c r="N684" s="479"/>
      <c r="O684" s="46"/>
      <c r="P684" s="46"/>
      <c r="Q684" s="479"/>
      <c r="R684" s="479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479"/>
      <c r="M685" s="479"/>
      <c r="N685" s="479"/>
      <c r="O685" s="46"/>
      <c r="P685" s="46"/>
      <c r="Q685" s="479"/>
      <c r="R685" s="479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479"/>
      <c r="M686" s="479"/>
      <c r="N686" s="479"/>
      <c r="O686" s="46"/>
      <c r="P686" s="46"/>
      <c r="Q686" s="479"/>
      <c r="R686" s="479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479"/>
      <c r="M687" s="479"/>
      <c r="N687" s="479"/>
      <c r="O687" s="46"/>
      <c r="P687" s="46"/>
      <c r="Q687" s="479"/>
      <c r="R687" s="479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481"/>
      <c r="M688" s="481"/>
      <c r="N688" s="481"/>
      <c r="O688" s="4"/>
      <c r="P688" s="4"/>
      <c r="Q688" s="481"/>
      <c r="R688" s="481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t="shared" ref="I689:J689" ca="1" si="472">I707</f>
        <v>76</v>
      </c>
      <c r="J689" s="483">
        <f t="shared" ca="1" si="472"/>
        <v>2</v>
      </c>
      <c r="K689" s="484">
        <f ca="1">IF(I689&gt;0,J689*100/I689,0)</f>
        <v>2.6315789473684212</v>
      </c>
      <c r="L689" s="46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32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132">
        <f t="shared" ref="L690:N690" ca="1" si="473">L691+L692</f>
        <v>0</v>
      </c>
      <c r="M690" s="132">
        <f t="shared" ca="1" si="473"/>
        <v>0</v>
      </c>
      <c r="N690" s="132">
        <f t="shared" ca="1" si="473"/>
        <v>0</v>
      </c>
      <c r="O690" s="132">
        <f t="shared" ref="O690:O698" ca="1" si="474">IF(L690&gt;0,N690*100/L690,0)</f>
        <v>0</v>
      </c>
      <c r="P690" s="132">
        <f t="shared" ref="P690:P698" ca="1" si="475">IF(M690&gt;0,N690*100/M690,0)</f>
        <v>0</v>
      </c>
      <c r="Q690" s="132">
        <f t="shared" ref="Q690:S690" ca="1" si="476">Q691+Q692</f>
        <v>865550</v>
      </c>
      <c r="R690" s="132">
        <f t="shared" ca="1" si="476"/>
        <v>895550</v>
      </c>
      <c r="S690" s="132">
        <f t="shared" ca="1" si="476"/>
        <v>223938.43</v>
      </c>
      <c r="T690" s="132">
        <f t="shared" ref="T690:T698" ca="1" si="477">IF(Q690&gt;0,S690*100/Q690,0)</f>
        <v>25.872385188608398</v>
      </c>
      <c r="U690" s="132">
        <f t="shared" ref="U690:U698" ca="1" si="478">IF(R690&gt;0,S690*100/R690,0)</f>
        <v>25.005687007983919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">
        <f t="shared" ref="L691:N691" ca="1" si="479">L694+L697</f>
        <v>0</v>
      </c>
      <c r="M691" s="49">
        <f t="shared" ca="1" si="479"/>
        <v>0</v>
      </c>
      <c r="N691" s="49">
        <f t="shared" ca="1" si="479"/>
        <v>0</v>
      </c>
      <c r="O691" s="49">
        <f t="shared" ca="1" si="474"/>
        <v>0</v>
      </c>
      <c r="P691" s="49">
        <f t="shared" ca="1" si="475"/>
        <v>0</v>
      </c>
      <c r="Q691" s="49">
        <f t="shared" ref="Q691:S691" ca="1" si="480">Q694+Q697</f>
        <v>0</v>
      </c>
      <c r="R691" s="49">
        <f t="shared" ca="1" si="480"/>
        <v>0</v>
      </c>
      <c r="S691" s="49">
        <f t="shared" ca="1" si="480"/>
        <v>0</v>
      </c>
      <c r="T691" s="49">
        <f t="shared" ca="1" si="477"/>
        <v>0</v>
      </c>
      <c r="U691" s="49">
        <f t="shared" ca="1" si="478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7">
        <f t="shared" ref="L692:N692" ca="1" si="481">L695+L698</f>
        <v>0</v>
      </c>
      <c r="M692" s="47">
        <f t="shared" ca="1" si="481"/>
        <v>0</v>
      </c>
      <c r="N692" s="47">
        <f t="shared" ca="1" si="481"/>
        <v>0</v>
      </c>
      <c r="O692" s="47">
        <f t="shared" ca="1" si="474"/>
        <v>0</v>
      </c>
      <c r="P692" s="47">
        <f t="shared" ca="1" si="475"/>
        <v>0</v>
      </c>
      <c r="Q692" s="47">
        <f t="shared" ref="Q692:S692" ca="1" si="482">Q695+Q698</f>
        <v>865550</v>
      </c>
      <c r="R692" s="47">
        <f t="shared" ca="1" si="482"/>
        <v>895550</v>
      </c>
      <c r="S692" s="47">
        <f t="shared" ca="1" si="482"/>
        <v>223938.43</v>
      </c>
      <c r="T692" s="47">
        <f t="shared" ca="1" si="477"/>
        <v>25.872385188608398</v>
      </c>
      <c r="U692" s="47">
        <f t="shared" ca="1" si="478"/>
        <v>25.005687007983919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7">
        <f t="shared" ref="L693:N693" ca="1" si="483">L694+L695</f>
        <v>0</v>
      </c>
      <c r="M693" s="47">
        <f t="shared" ca="1" si="483"/>
        <v>0</v>
      </c>
      <c r="N693" s="47">
        <f t="shared" ca="1" si="483"/>
        <v>0</v>
      </c>
      <c r="O693" s="47">
        <f t="shared" ca="1" si="474"/>
        <v>0</v>
      </c>
      <c r="P693" s="47">
        <f t="shared" ca="1" si="475"/>
        <v>0</v>
      </c>
      <c r="Q693" s="47">
        <f t="shared" ref="Q693:S693" ca="1" si="484">Q694+Q695</f>
        <v>865550</v>
      </c>
      <c r="R693" s="47">
        <f t="shared" ca="1" si="484"/>
        <v>895550</v>
      </c>
      <c r="S693" s="47">
        <f t="shared" ca="1" si="484"/>
        <v>223938.43</v>
      </c>
      <c r="T693" s="47">
        <f t="shared" ca="1" si="477"/>
        <v>25.872385188608398</v>
      </c>
      <c r="U693" s="47">
        <f t="shared" ca="1" si="478"/>
        <v>25.005687007983919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474"/>
        <v>0</v>
      </c>
      <c r="P694" s="49">
        <f t="shared" ca="1" si="475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477"/>
        <v>0</v>
      </c>
      <c r="U694" s="49">
        <f t="shared" ca="1" si="478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474"/>
        <v>0</v>
      </c>
      <c r="P695" s="47">
        <f t="shared" ca="1" si="475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895550)</f>
        <v>895550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223938.43)</f>
        <v>223938.43</v>
      </c>
      <c r="T695" s="47">
        <f t="shared" ca="1" si="477"/>
        <v>25.872385188608398</v>
      </c>
      <c r="U695" s="47">
        <f t="shared" ca="1" si="478"/>
        <v>25.005687007983919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7">
        <f t="shared" ref="L696:N696" ca="1" si="485">L697+L698</f>
        <v>0</v>
      </c>
      <c r="M696" s="47">
        <f t="shared" ca="1" si="485"/>
        <v>0</v>
      </c>
      <c r="N696" s="47">
        <f t="shared" ca="1" si="485"/>
        <v>0</v>
      </c>
      <c r="O696" s="47">
        <f t="shared" ca="1" si="474"/>
        <v>0</v>
      </c>
      <c r="P696" s="47">
        <f t="shared" ca="1" si="475"/>
        <v>0</v>
      </c>
      <c r="Q696" s="47">
        <f t="shared" ref="Q696:S696" ca="1" si="486">Q697+Q698</f>
        <v>0</v>
      </c>
      <c r="R696" s="47">
        <f t="shared" ca="1" si="486"/>
        <v>0</v>
      </c>
      <c r="S696" s="47">
        <f t="shared" ca="1" si="486"/>
        <v>0</v>
      </c>
      <c r="T696" s="47">
        <f t="shared" ca="1" si="477"/>
        <v>0</v>
      </c>
      <c r="U696" s="47">
        <f t="shared" ca="1" si="478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474"/>
        <v>0</v>
      </c>
      <c r="P697" s="49">
        <f t="shared" ca="1" si="475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477"/>
        <v>0</v>
      </c>
      <c r="U697" s="49">
        <f t="shared" ca="1" si="478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474"/>
        <v>0</v>
      </c>
      <c r="P698" s="47">
        <f t="shared" ca="1" si="475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477"/>
        <v>0</v>
      </c>
      <c r="U698" s="47">
        <f t="shared" ca="1" si="478"/>
        <v>0</v>
      </c>
    </row>
    <row r="699" spans="1:21" ht="19.5" x14ac:dyDescent="0.3">
      <c r="A699" s="138"/>
      <c r="B699" s="139"/>
      <c r="C699" s="188" t="s">
        <v>18</v>
      </c>
      <c r="D699" s="140" t="s">
        <v>38</v>
      </c>
      <c r="E699" s="141"/>
      <c r="F699" s="141"/>
      <c r="G699" s="141"/>
      <c r="H699" s="189"/>
      <c r="I699" s="135"/>
      <c r="J699" s="135"/>
      <c r="K699" s="13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3">
        <f t="shared" ref="K700:K710" ca="1" si="487">IF(I700&gt;0,J700*100/I700,0)</f>
        <v>0</v>
      </c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t="shared" ref="I701:J701" ca="1" si="488">I703+I705</f>
        <v>113</v>
      </c>
      <c r="J701" s="147">
        <f t="shared" ca="1" si="488"/>
        <v>2</v>
      </c>
      <c r="K701" s="132">
        <f t="shared" ca="1" si="487"/>
        <v>1.7699115044247788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487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3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2)</f>
        <v>2</v>
      </c>
      <c r="K703" s="47">
        <f t="shared" ca="1" si="487"/>
        <v>2.6315789473684212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0.21)</f>
        <v>0.21</v>
      </c>
      <c r="K704" s="47">
        <f t="shared" si="487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5" s="153">
        <f t="shared" ca="1" si="487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487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7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2)</f>
        <v>2</v>
      </c>
      <c r="K707" s="47">
        <f t="shared" ca="1" si="487"/>
        <v>2.6315789473684212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0.21)</f>
        <v>0.21</v>
      </c>
      <c r="K708" s="47">
        <f t="shared" si="487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54)</f>
        <v>54</v>
      </c>
      <c r="K709" s="47">
        <f t="shared" ca="1" si="487"/>
        <v>145.94594594594594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487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46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46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33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132">
        <f t="shared" ref="L714:N714" ca="1" si="489">L715+L716</f>
        <v>0</v>
      </c>
      <c r="M714" s="132">
        <f t="shared" ca="1" si="489"/>
        <v>0</v>
      </c>
      <c r="N714" s="132">
        <f t="shared" ca="1" si="489"/>
        <v>0</v>
      </c>
      <c r="O714" s="132">
        <f t="shared" ref="O714:O722" ca="1" si="490">IF(L714&gt;0,N714*100/L714,0)</f>
        <v>0</v>
      </c>
      <c r="P714" s="132">
        <f t="shared" ref="P714:P722" ca="1" si="491">IF(M714&gt;0,N714*100/M714,0)</f>
        <v>0</v>
      </c>
      <c r="Q714" s="132">
        <f t="shared" ref="Q714:S714" ca="1" si="492">Q715+Q716</f>
        <v>0</v>
      </c>
      <c r="R714" s="132">
        <f t="shared" ca="1" si="492"/>
        <v>0</v>
      </c>
      <c r="S714" s="132">
        <f t="shared" ca="1" si="492"/>
        <v>0</v>
      </c>
      <c r="T714" s="132">
        <f t="shared" ref="T714:T722" ca="1" si="493">IF(Q714&gt;0,S714*100/Q714,0)</f>
        <v>0</v>
      </c>
      <c r="U714" s="132">
        <f t="shared" ref="U714:U722" ca="1" si="494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">
        <f t="shared" ref="L715:N715" ca="1" si="495">L718+L721</f>
        <v>0</v>
      </c>
      <c r="M715" s="49">
        <f t="shared" ca="1" si="495"/>
        <v>0</v>
      </c>
      <c r="N715" s="49">
        <f t="shared" ca="1" si="495"/>
        <v>0</v>
      </c>
      <c r="O715" s="49">
        <f t="shared" ca="1" si="490"/>
        <v>0</v>
      </c>
      <c r="P715" s="49">
        <f t="shared" ca="1" si="491"/>
        <v>0</v>
      </c>
      <c r="Q715" s="49">
        <f t="shared" ref="Q715:S715" ca="1" si="496">Q718+Q721</f>
        <v>0</v>
      </c>
      <c r="R715" s="49">
        <f t="shared" ca="1" si="496"/>
        <v>0</v>
      </c>
      <c r="S715" s="49">
        <f t="shared" ca="1" si="496"/>
        <v>0</v>
      </c>
      <c r="T715" s="49">
        <f t="shared" ca="1" si="493"/>
        <v>0</v>
      </c>
      <c r="U715" s="49">
        <f t="shared" ca="1" si="494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7">
        <f t="shared" ref="L716:N716" ca="1" si="497">L719+L722</f>
        <v>0</v>
      </c>
      <c r="M716" s="47">
        <f t="shared" ca="1" si="497"/>
        <v>0</v>
      </c>
      <c r="N716" s="47">
        <f t="shared" ca="1" si="497"/>
        <v>0</v>
      </c>
      <c r="O716" s="47">
        <f t="shared" ca="1" si="490"/>
        <v>0</v>
      </c>
      <c r="P716" s="47">
        <f t="shared" ca="1" si="491"/>
        <v>0</v>
      </c>
      <c r="Q716" s="47">
        <f t="shared" ref="Q716:S716" ca="1" si="498">Q719+Q722</f>
        <v>0</v>
      </c>
      <c r="R716" s="47">
        <f t="shared" ca="1" si="498"/>
        <v>0</v>
      </c>
      <c r="S716" s="47">
        <f t="shared" ca="1" si="498"/>
        <v>0</v>
      </c>
      <c r="T716" s="47">
        <f t="shared" ca="1" si="493"/>
        <v>0</v>
      </c>
      <c r="U716" s="47">
        <f t="shared" ca="1" si="494"/>
        <v>0</v>
      </c>
    </row>
    <row r="717" spans="1:21" ht="19.5" hidden="1" x14ac:dyDescent="0.3">
      <c r="A717" s="128"/>
      <c r="B717" s="159"/>
      <c r="C717" s="159"/>
      <c r="D717" s="491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47">
        <f t="shared" ref="L717:N717" ca="1" si="499">L718+L719</f>
        <v>0</v>
      </c>
      <c r="M717" s="47">
        <f t="shared" ca="1" si="499"/>
        <v>0</v>
      </c>
      <c r="N717" s="47">
        <f t="shared" ca="1" si="499"/>
        <v>0</v>
      </c>
      <c r="O717" s="47">
        <f t="shared" ca="1" si="490"/>
        <v>0</v>
      </c>
      <c r="P717" s="47">
        <f t="shared" ca="1" si="491"/>
        <v>0</v>
      </c>
      <c r="Q717" s="47">
        <f t="shared" ref="Q717:S717" ca="1" si="500">Q718+Q719</f>
        <v>0</v>
      </c>
      <c r="R717" s="47">
        <f t="shared" ca="1" si="500"/>
        <v>0</v>
      </c>
      <c r="S717" s="47">
        <f t="shared" ca="1" si="500"/>
        <v>0</v>
      </c>
      <c r="T717" s="47">
        <f t="shared" ca="1" si="493"/>
        <v>0</v>
      </c>
      <c r="U717" s="47">
        <f t="shared" ca="1" si="494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490"/>
        <v>0</v>
      </c>
      <c r="P718" s="49">
        <f t="shared" ca="1" si="491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493"/>
        <v>0</v>
      </c>
      <c r="U718" s="49">
        <f t="shared" ca="1" si="494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490"/>
        <v>0</v>
      </c>
      <c r="P719" s="47">
        <f t="shared" ca="1" si="491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493"/>
        <v>0</v>
      </c>
      <c r="U719" s="47">
        <f t="shared" ca="1" si="494"/>
        <v>0</v>
      </c>
    </row>
    <row r="720" spans="1:21" ht="19.5" hidden="1" x14ac:dyDescent="0.3">
      <c r="A720" s="128"/>
      <c r="B720" s="159"/>
      <c r="C720" s="159"/>
      <c r="D720" s="491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47">
        <f t="shared" ref="L720:N720" ca="1" si="501">L721+L722</f>
        <v>0</v>
      </c>
      <c r="M720" s="47">
        <f t="shared" ca="1" si="501"/>
        <v>0</v>
      </c>
      <c r="N720" s="47">
        <f t="shared" ca="1" si="501"/>
        <v>0</v>
      </c>
      <c r="O720" s="47">
        <f t="shared" ca="1" si="490"/>
        <v>0</v>
      </c>
      <c r="P720" s="47">
        <f t="shared" ca="1" si="491"/>
        <v>0</v>
      </c>
      <c r="Q720" s="47">
        <f t="shared" ref="Q720:S720" ca="1" si="502">Q721+Q722</f>
        <v>0</v>
      </c>
      <c r="R720" s="47">
        <f t="shared" ca="1" si="502"/>
        <v>0</v>
      </c>
      <c r="S720" s="47">
        <f t="shared" ca="1" si="502"/>
        <v>0</v>
      </c>
      <c r="T720" s="47">
        <f t="shared" ca="1" si="493"/>
        <v>0</v>
      </c>
      <c r="U720" s="47">
        <f t="shared" ca="1" si="494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490"/>
        <v>0</v>
      </c>
      <c r="P721" s="49">
        <f t="shared" ca="1" si="491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493"/>
        <v>0</v>
      </c>
      <c r="U721" s="49">
        <f t="shared" ca="1" si="494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490"/>
        <v>0</v>
      </c>
      <c r="P722" s="47">
        <f t="shared" ca="1" si="491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493"/>
        <v>0</v>
      </c>
      <c r="U722" s="47">
        <f t="shared" ca="1" si="494"/>
        <v>0</v>
      </c>
    </row>
    <row r="723" spans="1:21" ht="19.5" hidden="1" x14ac:dyDescent="0.3">
      <c r="A723" s="138"/>
      <c r="B723" s="139"/>
      <c r="C723" s="345" t="s">
        <v>18</v>
      </c>
      <c r="D723" s="494" t="s">
        <v>38</v>
      </c>
      <c r="E723" s="141"/>
      <c r="F723" s="141"/>
      <c r="G723" s="142"/>
      <c r="H723" s="189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483">
        <f ca="1">J742+J746+J749</f>
        <v>224</v>
      </c>
      <c r="K726" s="484">
        <f t="shared" ref="K726:K727" ca="1" si="503">IF(I726&gt;0,J726*100/I726,0)</f>
        <v>78.873239436619713</v>
      </c>
      <c r="L726" s="46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483">
        <f ca="1">J752+J755</f>
        <v>820</v>
      </c>
      <c r="K727" s="484">
        <f t="shared" ca="1" si="503"/>
        <v>30.37037037037037</v>
      </c>
      <c r="L727" s="46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32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132">
        <f t="shared" ref="L728:N728" ca="1" si="504">L729+L730</f>
        <v>0</v>
      </c>
      <c r="M728" s="132">
        <f t="shared" ca="1" si="504"/>
        <v>0</v>
      </c>
      <c r="N728" s="132">
        <f t="shared" ca="1" si="504"/>
        <v>0</v>
      </c>
      <c r="O728" s="132">
        <f t="shared" ref="O728:O736" ca="1" si="505">IF(L728&gt;0,N728*100/L728,0)</f>
        <v>0</v>
      </c>
      <c r="P728" s="132">
        <f t="shared" ref="P728:P736" ca="1" si="506">IF(M728&gt;0,N728*100/M728,0)</f>
        <v>0</v>
      </c>
      <c r="Q728" s="132">
        <f t="shared" ref="Q728:S728" ca="1" si="507">Q729+Q730</f>
        <v>2422324</v>
      </c>
      <c r="R728" s="132">
        <f t="shared" ca="1" si="507"/>
        <v>2479224</v>
      </c>
      <c r="S728" s="132">
        <f t="shared" ca="1" si="507"/>
        <v>1125892.6099999901</v>
      </c>
      <c r="T728" s="132">
        <f t="shared" ref="T728:T736" ca="1" si="508">IF(Q728&gt;0,S728*100/Q728,0)</f>
        <v>46.479851993374552</v>
      </c>
      <c r="U728" s="132">
        <f t="shared" ref="U728:U736" ca="1" si="509">IF(R728&gt;0,S728*100/R728,0)</f>
        <v>45.413105471711717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">
        <f t="shared" ref="L729:N729" ca="1" si="510">L732+L735</f>
        <v>0</v>
      </c>
      <c r="M729" s="49">
        <f t="shared" ca="1" si="510"/>
        <v>0</v>
      </c>
      <c r="N729" s="49">
        <f t="shared" ca="1" si="510"/>
        <v>0</v>
      </c>
      <c r="O729" s="49">
        <f t="shared" ca="1" si="505"/>
        <v>0</v>
      </c>
      <c r="P729" s="49">
        <f t="shared" ca="1" si="506"/>
        <v>0</v>
      </c>
      <c r="Q729" s="49">
        <f t="shared" ref="Q729:S729" ca="1" si="511">Q732+Q735</f>
        <v>0</v>
      </c>
      <c r="R729" s="49">
        <f t="shared" ca="1" si="511"/>
        <v>0</v>
      </c>
      <c r="S729" s="49">
        <f t="shared" ca="1" si="511"/>
        <v>0</v>
      </c>
      <c r="T729" s="49">
        <f t="shared" ca="1" si="508"/>
        <v>0</v>
      </c>
      <c r="U729" s="49">
        <f t="shared" ca="1" si="509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7">
        <f t="shared" ref="L730:N730" ca="1" si="512">L733+L736</f>
        <v>0</v>
      </c>
      <c r="M730" s="47">
        <f t="shared" ca="1" si="512"/>
        <v>0</v>
      </c>
      <c r="N730" s="47">
        <f t="shared" ca="1" si="512"/>
        <v>0</v>
      </c>
      <c r="O730" s="47">
        <f t="shared" ca="1" si="505"/>
        <v>0</v>
      </c>
      <c r="P730" s="47">
        <f t="shared" ca="1" si="506"/>
        <v>0</v>
      </c>
      <c r="Q730" s="47">
        <f t="shared" ref="Q730:S730" ca="1" si="513">Q733+Q736</f>
        <v>2422324</v>
      </c>
      <c r="R730" s="47">
        <f t="shared" ca="1" si="513"/>
        <v>2479224</v>
      </c>
      <c r="S730" s="47">
        <f t="shared" ca="1" si="513"/>
        <v>1125892.6099999901</v>
      </c>
      <c r="T730" s="47">
        <f t="shared" ca="1" si="508"/>
        <v>46.479851993374552</v>
      </c>
      <c r="U730" s="47">
        <f t="shared" ca="1" si="509"/>
        <v>45.413105471711717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7">
        <f t="shared" ref="L731:N731" ca="1" si="514">L732+L733</f>
        <v>0</v>
      </c>
      <c r="M731" s="47">
        <f t="shared" ca="1" si="514"/>
        <v>0</v>
      </c>
      <c r="N731" s="47">
        <f t="shared" ca="1" si="514"/>
        <v>0</v>
      </c>
      <c r="O731" s="47">
        <f t="shared" ca="1" si="505"/>
        <v>0</v>
      </c>
      <c r="P731" s="47">
        <f t="shared" ca="1" si="506"/>
        <v>0</v>
      </c>
      <c r="Q731" s="47">
        <f t="shared" ref="Q731:S731" ca="1" si="515">Q732+Q733</f>
        <v>2422324</v>
      </c>
      <c r="R731" s="47">
        <f t="shared" ca="1" si="515"/>
        <v>2479224</v>
      </c>
      <c r="S731" s="47">
        <f t="shared" ca="1" si="515"/>
        <v>1125892.6099999901</v>
      </c>
      <c r="T731" s="47">
        <f t="shared" ca="1" si="508"/>
        <v>46.479851993374552</v>
      </c>
      <c r="U731" s="47">
        <f t="shared" ca="1" si="509"/>
        <v>45.413105471711717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505"/>
        <v>0</v>
      </c>
      <c r="P732" s="49">
        <f t="shared" ca="1" si="506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508"/>
        <v>0</v>
      </c>
      <c r="U732" s="49">
        <f t="shared" ca="1" si="509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505"/>
        <v>0</v>
      </c>
      <c r="P733" s="47">
        <f t="shared" ca="1" si="506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1125892.60999999)</f>
        <v>1125892.6099999901</v>
      </c>
      <c r="T733" s="47">
        <f t="shared" ca="1" si="508"/>
        <v>46.479851993374552</v>
      </c>
      <c r="U733" s="47">
        <f t="shared" ca="1" si="509"/>
        <v>45.413105471711717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7">
        <f t="shared" ref="L734:N734" ca="1" si="516">L735+L736</f>
        <v>0</v>
      </c>
      <c r="M734" s="47">
        <f t="shared" ca="1" si="516"/>
        <v>0</v>
      </c>
      <c r="N734" s="47">
        <f t="shared" ca="1" si="516"/>
        <v>0</v>
      </c>
      <c r="O734" s="47">
        <f t="shared" ca="1" si="505"/>
        <v>0</v>
      </c>
      <c r="P734" s="47">
        <f t="shared" ca="1" si="506"/>
        <v>0</v>
      </c>
      <c r="Q734" s="47">
        <f t="shared" ref="Q734:S734" ca="1" si="517">Q735+Q736</f>
        <v>0</v>
      </c>
      <c r="R734" s="47">
        <f t="shared" ca="1" si="517"/>
        <v>0</v>
      </c>
      <c r="S734" s="47">
        <f t="shared" ca="1" si="517"/>
        <v>0</v>
      </c>
      <c r="T734" s="47">
        <f t="shared" ca="1" si="508"/>
        <v>0</v>
      </c>
      <c r="U734" s="47">
        <f t="shared" ca="1" si="509"/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505"/>
        <v>0</v>
      </c>
      <c r="P735" s="49">
        <f t="shared" ca="1" si="506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508"/>
        <v>0</v>
      </c>
      <c r="U735" s="49">
        <f t="shared" ca="1" si="509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505"/>
        <v>0</v>
      </c>
      <c r="P736" s="47">
        <f t="shared" ca="1" si="506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508"/>
        <v>0</v>
      </c>
      <c r="U736" s="47">
        <f t="shared" ca="1" si="509"/>
        <v>0</v>
      </c>
    </row>
    <row r="737" spans="1:21" ht="19.5" x14ac:dyDescent="0.3">
      <c r="A737" s="138"/>
      <c r="B737" s="139"/>
      <c r="C737" s="188" t="s">
        <v>18</v>
      </c>
      <c r="D737" s="325" t="s">
        <v>38</v>
      </c>
      <c r="E737" s="212"/>
      <c r="F737" s="141"/>
      <c r="G737" s="142"/>
      <c r="H737" s="189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1575)</f>
        <v>1575</v>
      </c>
      <c r="K740" s="47">
        <f ca="1">IF(I740&gt;0,J740*100/I740,0)</f>
        <v>72.916666666666671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77)</f>
        <v>77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166)</f>
        <v>166</v>
      </c>
      <c r="K742" s="47">
        <f ca="1">IF(I742&gt;0,J742*100/I742,0)</f>
        <v>76.851851851851848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395)</f>
        <v>395</v>
      </c>
      <c r="K744" s="47">
        <f ca="1">IF(I744&gt;0,J744*100/I744,0)</f>
        <v>73.148148148148152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19)</f>
        <v>19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42)</f>
        <v>42</v>
      </c>
      <c r="K746" s="47">
        <f ca="1">IF(I746&gt;0,J746*100/I746,0)</f>
        <v>77.777777777777771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10)</f>
        <v>10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16)</f>
        <v>16</v>
      </c>
      <c r="K749" s="47">
        <f ca="1">IF(I749&gt;0,J749*100/I749,0)</f>
        <v>114.28571428571429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655)</f>
        <v>655</v>
      </c>
      <c r="K752" s="47">
        <f ca="1">IF(I752&gt;0,J752*100/I752,0)</f>
        <v>30.324074074074073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583)</f>
        <v>583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165)</f>
        <v>165</v>
      </c>
      <c r="K755" s="47">
        <f ca="1">IF(I755&gt;0,J755*100/I755,0)</f>
        <v>30.555555555555557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147)</f>
        <v>147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t="shared" ref="I758:J758" ca="1" si="518">I772</f>
        <v>240</v>
      </c>
      <c r="J758" s="483">
        <f t="shared" ca="1" si="518"/>
        <v>190</v>
      </c>
      <c r="K758" s="484">
        <f t="shared" ref="K758:K759" ca="1" si="519">IF(I758&gt;0,J758*100/I758,0)</f>
        <v>79.166666666666671</v>
      </c>
      <c r="L758" s="46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t="shared" ref="I759:J759" ca="1" si="520">I774</f>
        <v>625</v>
      </c>
      <c r="J759" s="483">
        <f t="shared" ca="1" si="520"/>
        <v>430</v>
      </c>
      <c r="K759" s="484">
        <f t="shared" ca="1" si="519"/>
        <v>68.8</v>
      </c>
      <c r="L759" s="46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32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132">
        <f t="shared" ref="L760:N760" ca="1" si="521">L761+L762</f>
        <v>0</v>
      </c>
      <c r="M760" s="132">
        <f t="shared" ca="1" si="521"/>
        <v>0</v>
      </c>
      <c r="N760" s="132">
        <f t="shared" ca="1" si="521"/>
        <v>0</v>
      </c>
      <c r="O760" s="132">
        <f t="shared" ref="O760:O768" ca="1" si="522">IF(L760&gt;0,N760*100/L760,0)</f>
        <v>0</v>
      </c>
      <c r="P760" s="132">
        <f t="shared" ref="P760:P768" ca="1" si="523">IF(M760&gt;0,N760*100/M760,0)</f>
        <v>0</v>
      </c>
      <c r="Q760" s="132">
        <f t="shared" ref="Q760:S760" ca="1" si="524">Q761+Q762</f>
        <v>2015140</v>
      </c>
      <c r="R760" s="132">
        <f t="shared" ca="1" si="524"/>
        <v>2015140</v>
      </c>
      <c r="S760" s="132">
        <f t="shared" ca="1" si="524"/>
        <v>1228020.8</v>
      </c>
      <c r="T760" s="132">
        <f t="shared" ref="T760:T768" ca="1" si="525">IF(Q760&gt;0,S760*100/Q760,0)</f>
        <v>60.939726272120048</v>
      </c>
      <c r="U760" s="132">
        <f t="shared" ref="U760:U768" ca="1" si="526">IF(R760&gt;0,S760*100/R760,0)</f>
        <v>60.939726272120048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1" ca="1" si="527">L764+L767</f>
        <v>0</v>
      </c>
      <c r="M761" s="49">
        <f t="shared" ca="1" si="527"/>
        <v>0</v>
      </c>
      <c r="N761" s="49">
        <f t="shared" ca="1" si="527"/>
        <v>0</v>
      </c>
      <c r="O761" s="49">
        <f t="shared" ca="1" si="522"/>
        <v>0</v>
      </c>
      <c r="P761" s="49">
        <f t="shared" ca="1" si="523"/>
        <v>0</v>
      </c>
      <c r="Q761" s="49">
        <f t="shared" ref="Q761:S761" ca="1" si="528">Q764+Q767</f>
        <v>0</v>
      </c>
      <c r="R761" s="49">
        <f t="shared" ca="1" si="528"/>
        <v>0</v>
      </c>
      <c r="S761" s="49">
        <f t="shared" ca="1" si="528"/>
        <v>0</v>
      </c>
      <c r="T761" s="49">
        <f t="shared" ca="1" si="525"/>
        <v>0</v>
      </c>
      <c r="U761" s="49">
        <f t="shared" ca="1" si="526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ref="L762:N762" ca="1" si="529">L765+L768</f>
        <v>0</v>
      </c>
      <c r="M762" s="47">
        <f t="shared" ca="1" si="529"/>
        <v>0</v>
      </c>
      <c r="N762" s="47">
        <f t="shared" ca="1" si="529"/>
        <v>0</v>
      </c>
      <c r="O762" s="47">
        <f t="shared" ca="1" si="522"/>
        <v>0</v>
      </c>
      <c r="P762" s="47">
        <f t="shared" ca="1" si="523"/>
        <v>0</v>
      </c>
      <c r="Q762" s="47">
        <f t="shared" ref="Q762:S762" ca="1" si="530">Q765+Q768</f>
        <v>2015140</v>
      </c>
      <c r="R762" s="47">
        <f t="shared" ca="1" si="530"/>
        <v>2015140</v>
      </c>
      <c r="S762" s="47">
        <f t="shared" ca="1" si="530"/>
        <v>1228020.8</v>
      </c>
      <c r="T762" s="47">
        <f t="shared" ca="1" si="525"/>
        <v>60.939726272120048</v>
      </c>
      <c r="U762" s="47">
        <f t="shared" ca="1" si="526"/>
        <v>60.939726272120048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t="shared" ref="L763:N763" ca="1" si="531">L764+L765</f>
        <v>0</v>
      </c>
      <c r="M763" s="47">
        <f t="shared" ca="1" si="531"/>
        <v>0</v>
      </c>
      <c r="N763" s="47">
        <f t="shared" ca="1" si="531"/>
        <v>0</v>
      </c>
      <c r="O763" s="47">
        <f t="shared" ca="1" si="522"/>
        <v>0</v>
      </c>
      <c r="P763" s="47">
        <f t="shared" ca="1" si="523"/>
        <v>0</v>
      </c>
      <c r="Q763" s="47">
        <f t="shared" ref="Q763:S763" ca="1" si="532">Q764+Q765</f>
        <v>2015140</v>
      </c>
      <c r="R763" s="47">
        <f t="shared" ca="1" si="532"/>
        <v>2015140</v>
      </c>
      <c r="S763" s="47">
        <f t="shared" ca="1" si="532"/>
        <v>1228020.8</v>
      </c>
      <c r="T763" s="47">
        <f t="shared" ca="1" si="525"/>
        <v>60.939726272120048</v>
      </c>
      <c r="U763" s="47">
        <f t="shared" ca="1" si="526"/>
        <v>60.939726272120048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522"/>
        <v>0</v>
      </c>
      <c r="P764" s="49">
        <f t="shared" ca="1" si="523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525"/>
        <v>0</v>
      </c>
      <c r="U764" s="49">
        <f t="shared" ca="1" si="526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522"/>
        <v>0</v>
      </c>
      <c r="P765" s="47">
        <f t="shared" ca="1" si="523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1228020.8)</f>
        <v>1228020.8</v>
      </c>
      <c r="T765" s="47">
        <f t="shared" ca="1" si="525"/>
        <v>60.939726272120048</v>
      </c>
      <c r="U765" s="47">
        <f t="shared" ca="1" si="526"/>
        <v>60.939726272120048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t="shared" ref="L766:N766" ca="1" si="533">L767+L768</f>
        <v>0</v>
      </c>
      <c r="M766" s="47">
        <f t="shared" ca="1" si="533"/>
        <v>0</v>
      </c>
      <c r="N766" s="47">
        <f t="shared" ca="1" si="533"/>
        <v>0</v>
      </c>
      <c r="O766" s="47">
        <f t="shared" ca="1" si="522"/>
        <v>0</v>
      </c>
      <c r="P766" s="47">
        <f t="shared" ca="1" si="523"/>
        <v>0</v>
      </c>
      <c r="Q766" s="47">
        <f t="shared" ref="Q766:S766" ca="1" si="534">Q767+Q768</f>
        <v>0</v>
      </c>
      <c r="R766" s="47">
        <f t="shared" ca="1" si="534"/>
        <v>0</v>
      </c>
      <c r="S766" s="47">
        <f t="shared" ca="1" si="534"/>
        <v>0</v>
      </c>
      <c r="T766" s="47">
        <f t="shared" ca="1" si="525"/>
        <v>0</v>
      </c>
      <c r="U766" s="47">
        <f t="shared" ca="1" si="526"/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522"/>
        <v>0</v>
      </c>
      <c r="P767" s="49">
        <f t="shared" ca="1" si="523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525"/>
        <v>0</v>
      </c>
      <c r="U767" s="49">
        <f t="shared" ca="1" si="526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522"/>
        <v>0</v>
      </c>
      <c r="P768" s="47">
        <f t="shared" ca="1" si="523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525"/>
        <v>0</v>
      </c>
      <c r="U768" s="47">
        <f t="shared" ca="1" si="526"/>
        <v>0</v>
      </c>
    </row>
    <row r="769" spans="1:21" ht="19.5" x14ac:dyDescent="0.3">
      <c r="A769" s="138"/>
      <c r="B769" s="139"/>
      <c r="C769" s="503" t="s">
        <v>18</v>
      </c>
      <c r="D769" s="471" t="s">
        <v>38</v>
      </c>
      <c r="E769" s="212"/>
      <c r="F769" s="141"/>
      <c r="G769" s="142"/>
      <c r="H769" s="189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15)</f>
        <v>15</v>
      </c>
      <c r="J770" s="495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7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190)</f>
        <v>190</v>
      </c>
      <c r="K772" s="47">
        <f ca="1">IF(I772&gt;0,J772*100/I772,0)</f>
        <v>79.166666666666671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430)</f>
        <v>430</v>
      </c>
      <c r="K774" s="47">
        <f ca="1">IF(I774&gt;0,J774*100/I774,0)</f>
        <v>68.8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7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140)</f>
        <v>140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55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80)</f>
        <v>80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05" t="s">
        <v>294</v>
      </c>
      <c r="B777" s="506"/>
      <c r="C777" s="506"/>
      <c r="D777" s="506"/>
      <c r="E777" s="507"/>
      <c r="F777" s="507"/>
      <c r="G777" s="508"/>
      <c r="H777" s="509" t="str">
        <f ca="1">IFERROR(__xludf.DUMMYFUNCTION("IMPORTRANGE(""https://docs.google.com/spreadsheets/d/1gNPQPjxUj63ZZXIIIm2aX4x3w7PhAZpC9JuXdbpWwUQ/edit?usp=sharing"",""Sheet1!b2"")")," (ข้อมูล ณ 31 พ.ค. 67)")</f>
        <v xml:space="preserve"> 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217"/>
      <c r="B778" s="218" t="s">
        <v>295</v>
      </c>
      <c r="C778" s="159"/>
      <c r="D778" s="159"/>
      <c r="E778" s="41"/>
      <c r="F778" s="41"/>
      <c r="G778" s="43"/>
      <c r="H778" s="133" t="s">
        <v>14</v>
      </c>
      <c r="I778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12409155.92)</f>
        <v>12409155.92</v>
      </c>
      <c r="J778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9562182.12)</f>
        <v>9562182.1199999992</v>
      </c>
      <c r="K778" s="47">
        <f t="shared" ref="K778:K785" ca="1" si="535">IF(I778&gt;0,J778*100/I778,0)</f>
        <v>77.057474187978443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17"/>
      <c r="B779" s="159"/>
      <c r="C779" s="159"/>
      <c r="D779" s="159"/>
      <c r="E779" s="41"/>
      <c r="F779" s="41"/>
      <c r="G779" s="43"/>
      <c r="H779" s="133" t="s">
        <v>35</v>
      </c>
      <c r="I779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986)</f>
        <v>986</v>
      </c>
      <c r="J779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792)</f>
        <v>792</v>
      </c>
      <c r="K779" s="47">
        <f t="shared" ca="1" si="535"/>
        <v>80.324543610547664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17"/>
      <c r="B780" s="218" t="s">
        <v>296</v>
      </c>
      <c r="C780" s="159"/>
      <c r="D780" s="159"/>
      <c r="E780" s="41"/>
      <c r="F780" s="41"/>
      <c r="G780" s="43"/>
      <c r="H780" s="133" t="s">
        <v>14</v>
      </c>
      <c r="I780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2810664.88)</f>
        <v>2810664.88</v>
      </c>
      <c r="K780" s="47">
        <f t="shared" ca="1" si="535"/>
        <v>17.042260986059357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17"/>
      <c r="B781" s="159"/>
      <c r="C781" s="159"/>
      <c r="D781" s="159"/>
      <c r="E781" s="41"/>
      <c r="F781" s="41"/>
      <c r="G781" s="43"/>
      <c r="H781" s="133" t="s">
        <v>35</v>
      </c>
      <c r="I781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441)</f>
        <v>441</v>
      </c>
      <c r="K781" s="47">
        <f t="shared" ca="1" si="535"/>
        <v>59.274193548387096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17"/>
      <c r="B782" s="218" t="s">
        <v>297</v>
      </c>
      <c r="C782" s="159"/>
      <c r="D782" s="159"/>
      <c r="E782" s="41"/>
      <c r="F782" s="41"/>
      <c r="G782" s="43"/>
      <c r="H782" s="133" t="s">
        <v>14</v>
      </c>
      <c r="I782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220256.37)</f>
        <v>220256.37</v>
      </c>
      <c r="J782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181265.86)</f>
        <v>181265.86</v>
      </c>
      <c r="K782" s="47">
        <f t="shared" ca="1" si="535"/>
        <v>82.297669756384352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17"/>
      <c r="B783" s="159"/>
      <c r="C783" s="159"/>
      <c r="D783" s="159"/>
      <c r="E783" s="41"/>
      <c r="F783" s="41"/>
      <c r="G783" s="43"/>
      <c r="H783" s="133" t="s">
        <v>35</v>
      </c>
      <c r="I783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452)</f>
        <v>452</v>
      </c>
      <c r="J783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66)</f>
        <v>66</v>
      </c>
      <c r="K783" s="47">
        <f t="shared" ca="1" si="535"/>
        <v>14.601769911504425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17"/>
      <c r="B784" s="218" t="s">
        <v>298</v>
      </c>
      <c r="C784" s="159"/>
      <c r="D784" s="159"/>
      <c r="E784" s="41"/>
      <c r="F784" s="41"/>
      <c r="G784" s="43"/>
      <c r="H784" s="133" t="s">
        <v>14</v>
      </c>
      <c r="I784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15655400)</f>
        <v>15655400</v>
      </c>
      <c r="K784" s="47">
        <f t="shared" ca="1" si="535"/>
        <v>72.613172541743964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50"/>
      <c r="B785" s="3"/>
      <c r="C785" s="3"/>
      <c r="D785" s="3"/>
      <c r="E785" s="1"/>
      <c r="F785" s="1"/>
      <c r="G785" s="53"/>
      <c r="H785" s="352" t="s">
        <v>35</v>
      </c>
      <c r="I785" s="197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197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359)</f>
        <v>359</v>
      </c>
      <c r="K785" s="111">
        <f t="shared" ca="1" si="535"/>
        <v>46.623376623376622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513"/>
      <c r="B786" s="513"/>
      <c r="C786" s="513"/>
      <c r="D786" s="513"/>
      <c r="E786" s="166"/>
      <c r="F786" s="166"/>
      <c r="G786" s="166"/>
      <c r="H786" s="513"/>
      <c r="I786" s="514"/>
      <c r="J786" s="514"/>
      <c r="K786" s="515"/>
      <c r="L786" s="515"/>
      <c r="M786" s="515"/>
      <c r="N786" s="515"/>
      <c r="O786" s="515"/>
      <c r="P786" s="515"/>
      <c r="Q786" s="515"/>
      <c r="R786" s="515"/>
      <c r="S786" s="515"/>
      <c r="T786" s="515"/>
      <c r="U786" s="515"/>
    </row>
    <row r="787" spans="1:21" ht="16.5" x14ac:dyDescent="0.25">
      <c r="A787" s="516" t="s">
        <v>299</v>
      </c>
      <c r="B787" s="513"/>
      <c r="C787" s="513"/>
      <c r="D787" s="513"/>
      <c r="E787" s="166"/>
      <c r="F787" s="166"/>
      <c r="G787" s="166"/>
      <c r="H787" s="513"/>
      <c r="I787" s="514"/>
      <c r="J787" s="514"/>
      <c r="K787" s="515"/>
      <c r="L787" s="515"/>
      <c r="M787" s="515"/>
      <c r="N787" s="515"/>
      <c r="O787" s="515"/>
      <c r="P787" s="515"/>
      <c r="Q787" s="515"/>
      <c r="R787" s="515"/>
      <c r="S787" s="515"/>
      <c r="T787" s="515"/>
      <c r="U787" s="515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513"/>
      <c r="C788" s="513"/>
      <c r="D788" s="513"/>
      <c r="E788" s="166"/>
      <c r="F788" s="166"/>
      <c r="G788" s="166"/>
      <c r="H788" s="513"/>
      <c r="I788" s="514"/>
      <c r="J788" s="514"/>
      <c r="K788" s="515"/>
      <c r="L788" s="515"/>
      <c r="M788" s="515"/>
      <c r="N788" s="515"/>
      <c r="O788" s="515"/>
      <c r="P788" s="515"/>
      <c r="Q788" s="515"/>
      <c r="R788" s="515"/>
      <c r="S788" s="515"/>
      <c r="T788" s="515"/>
      <c r="U788" s="515"/>
    </row>
    <row r="789" spans="1:21" ht="16.5" x14ac:dyDescent="0.25">
      <c r="A789" s="51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513"/>
      <c r="C789" s="513"/>
      <c r="D789" s="513"/>
      <c r="E789" s="166"/>
      <c r="F789" s="166"/>
      <c r="G789" s="166"/>
      <c r="H789" s="513"/>
      <c r="I789" s="514"/>
      <c r="J789" s="514"/>
      <c r="K789" s="515"/>
      <c r="L789" s="515"/>
      <c r="M789" s="515"/>
      <c r="N789" s="515"/>
      <c r="O789" s="515"/>
      <c r="P789" s="515"/>
      <c r="Q789" s="515"/>
      <c r="R789" s="515"/>
      <c r="S789" s="515"/>
      <c r="T789" s="515"/>
      <c r="U789" s="515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D5F29-CA28-45B3-8E40-86669C60C9B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325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2683162</v>
      </c>
      <c r="M18" s="35">
        <f ca="1">M19+M20</f>
        <v>2580627.48</v>
      </c>
      <c r="N18" s="35">
        <f ca="1">N19+N20</f>
        <v>2029636.7600000002</v>
      </c>
      <c r="O18" s="35">
        <f ca="1">IF(L18&gt;0,N18*100/L18,0)</f>
        <v>75.643466924471966</v>
      </c>
      <c r="P18" s="35">
        <f ca="1">IF(M18&gt;0,N18*100/M18,0)</f>
        <v>78.64896331337215</v>
      </c>
      <c r="Q18" s="35">
        <f ca="1">Q19+Q20</f>
        <v>519907</v>
      </c>
      <c r="R18" s="35">
        <f ca="1">R19+R20</f>
        <v>549907</v>
      </c>
      <c r="S18" s="35">
        <f ca="1">S19+S20</f>
        <v>325382.65000000002</v>
      </c>
      <c r="T18" s="35">
        <f ca="1">IF(Q18&gt;0,S18*100/Q18,0)</f>
        <v>62.584779585579739</v>
      </c>
      <c r="U18" s="35">
        <f ca="1">IF(R18&gt;0,S18*100/R18,0)</f>
        <v>59.170487009621631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2683162</v>
      </c>
      <c r="M20" s="39">
        <f ca="1">M23+M26</f>
        <v>2580627.48</v>
      </c>
      <c r="N20" s="39">
        <f ca="1">N23+N26</f>
        <v>2029636.7600000002</v>
      </c>
      <c r="O20" s="39">
        <f ca="1">IF(L20&gt;0,N20*100/L20,0)</f>
        <v>75.643466924471966</v>
      </c>
      <c r="P20" s="39">
        <f ca="1">IF(M20&gt;0,N20*100/M20,0)</f>
        <v>78.64896331337215</v>
      </c>
      <c r="Q20" s="39">
        <f ca="1">Q23+Q26</f>
        <v>519907</v>
      </c>
      <c r="R20" s="39">
        <f ca="1">R23+R26</f>
        <v>549907</v>
      </c>
      <c r="S20" s="39">
        <f ca="1">S23+S26</f>
        <v>325382.65000000002</v>
      </c>
      <c r="T20" s="39">
        <f ca="1">IF(Q20&gt;0,S20*100/Q20,0)</f>
        <v>62.584779585579739</v>
      </c>
      <c r="U20" s="39">
        <f ca="1">IF(R20&gt;0,S20*100/R20,0)</f>
        <v>59.170487009621631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1675162</v>
      </c>
      <c r="M21" s="47">
        <f ca="1">M22+M23</f>
        <v>1672627.48</v>
      </c>
      <c r="N21" s="47">
        <f ca="1">N22+N23</f>
        <v>1130040.3700000001</v>
      </c>
      <c r="O21" s="47">
        <f ca="1">IF(L21&gt;0,N21*100/L21,0)</f>
        <v>67.458572364941432</v>
      </c>
      <c r="P21" s="47">
        <f ca="1">IF(M21&gt;0,N21*100/M21,0)</f>
        <v>67.56079183871833</v>
      </c>
      <c r="Q21" s="47">
        <f ca="1">Q22+Q23</f>
        <v>519907</v>
      </c>
      <c r="R21" s="47">
        <f ca="1">R22+R23</f>
        <v>549907</v>
      </c>
      <c r="S21" s="47">
        <f ca="1">S22+S23</f>
        <v>325382.65000000002</v>
      </c>
      <c r="T21" s="47">
        <f ca="1">IF(Q21&gt;0,S21*100/Q21,0)</f>
        <v>62.584779585579739</v>
      </c>
      <c r="U21" s="47">
        <f ca="1">IF(R21&gt;0,S21*100/R21,0)</f>
        <v>59.170487009621631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1675162</v>
      </c>
      <c r="M23" s="47">
        <f ca="1">M49+M64+M77+M99+M122+M144+M162+M191+M178+M271+M287+M308+M325+M338+M361+M380+M418+M498+M518+M539+M560+M581+M604+M621+M647+M695+M719+M733+M765</f>
        <v>1672627.48</v>
      </c>
      <c r="N23" s="47">
        <f ca="1">N49+N64+N77+N99+N122+N144+N162+N191+N178+N271+N287+N308+N325+N338+N361+N380+N418+N498+N518+N539+N560+N581+N604+N621+N647+N695+N719+N733+N765</f>
        <v>1130040.3700000001</v>
      </c>
      <c r="O23" s="47">
        <f ca="1">IF(L23&gt;0,N23*100/L23,0)</f>
        <v>67.458572364941432</v>
      </c>
      <c r="P23" s="47">
        <f ca="1">IF(M23&gt;0,N23*100/M23,0)</f>
        <v>67.56079183871833</v>
      </c>
      <c r="Q23" s="47">
        <f ca="1">Q77+Q99+Q122+Q144+Q162+Q178+Q191+Q271+Q287+Q308+Q338+Q380+Q397+Q418+Q498+Q604+Q621+Q647+Q695+Q719+Q733+Q765</f>
        <v>519907</v>
      </c>
      <c r="R23" s="47">
        <f ca="1">R77+R99+R122+R144+R162+R178+R191+R271+R287+R308+R338+R380+R397+R418+R498+R604+R621+R647+R695+R719+R733+R765</f>
        <v>549907</v>
      </c>
      <c r="S23" s="47">
        <f ca="1">S77+S99+S122+S144+S162+S178+S191+S271+S287+S308+S338+S380+S397+S418+S498+S604+S621+S647+S695+S719+S733+S765</f>
        <v>325382.65000000002</v>
      </c>
      <c r="T23" s="47">
        <f ca="1">IF(Q23&gt;0,S23*100/Q23,0)</f>
        <v>62.584779585579739</v>
      </c>
      <c r="U23" s="47">
        <f ca="1">IF(R23&gt;0,S23*100/R23,0)</f>
        <v>59.170487009621631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1008000</v>
      </c>
      <c r="M24" s="47">
        <f ca="1">M25+M26</f>
        <v>908000</v>
      </c>
      <c r="N24" s="47">
        <f ca="1">N25+N26</f>
        <v>899596.39</v>
      </c>
      <c r="O24" s="47">
        <f ca="1">IF(L24&gt;0,N24*100/L24,0)</f>
        <v>89.245673611111116</v>
      </c>
      <c r="P24" s="47">
        <f ca="1">IF(M24&gt;0,N24*100/M24,0)</f>
        <v>99.074492290748893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1008000</v>
      </c>
      <c r="M26" s="47">
        <f ca="1">M52+M67+M80+M102+M125+M147+M165+M194+M181+M274+M290+M311+M328+M341+M364+M383+M421+M501+M521+M542+M563+M584+M607+M624+M650+M698+M722+M736+M768</f>
        <v>908000</v>
      </c>
      <c r="N26" s="47">
        <f ca="1">N52+N67+N80+N102+N125+N147+N165+N194+N181+N274+N290+N311+N328+N341+N364+N383+N421+N501+N521+N542+N563+N584+N607+N624+N650+N698+N722+N736+N768</f>
        <v>899596.39</v>
      </c>
      <c r="O26" s="47">
        <f ca="1">IF(L26&gt;0,N26*100/L26,0)</f>
        <v>89.245673611111116</v>
      </c>
      <c r="P26" s="47">
        <f ca="1">IF(M26&gt;0,N26*100/M26,0)</f>
        <v>99.074492290748893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2628090</v>
      </c>
      <c r="M40" s="803">
        <f ca="1">M44+M59+M72+M94+M125+M139+M157+M173+M186+M266+M282+M303+M320+M333+M356</f>
        <v>2525555.48</v>
      </c>
      <c r="N40" s="803">
        <f ca="1">N44+N59+N72+N94+N125+N139+N157+N173+N186+N266+N282+N303+N320+N333+N356</f>
        <v>2025632.76</v>
      </c>
      <c r="O40" s="803">
        <f ca="1">IF(L40&gt;0,N40*100/L40,0)</f>
        <v>77.076232549113612</v>
      </c>
      <c r="P40" s="803">
        <f ca="1">IF(M40&gt;0,N40*100/M40,0)</f>
        <v>80.205435043541385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200000</v>
      </c>
      <c r="M44" s="79">
        <f ca="1">M45+M46</f>
        <v>114995.48</v>
      </c>
      <c r="N44" s="79">
        <f ca="1">N45+N46</f>
        <v>69495.48</v>
      </c>
      <c r="O44" s="79">
        <f ca="1">IF(L44&gt;0,N44*100/L44,0)</f>
        <v>34.74774</v>
      </c>
      <c r="P44" s="79">
        <f ca="1">IF(M44&gt;0,N44*100/M44,0)</f>
        <v>60.433227462505485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200000</v>
      </c>
      <c r="M46" s="83">
        <f ca="1">M49+M52</f>
        <v>114995.48</v>
      </c>
      <c r="N46" s="83">
        <f ca="1">N49+N52</f>
        <v>69495.48</v>
      </c>
      <c r="O46" s="83">
        <f ca="1">IF(L46&gt;0,N46*100/L46,0)</f>
        <v>34.74774</v>
      </c>
      <c r="P46" s="83">
        <f ca="1">IF(M46&gt;0,N46*100/M46,0)</f>
        <v>60.433227462505485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200000</v>
      </c>
      <c r="M47" s="47">
        <f ca="1">M48+M49</f>
        <v>114995.48</v>
      </c>
      <c r="N47" s="47">
        <f ca="1">N48+N49</f>
        <v>69495.48</v>
      </c>
      <c r="O47" s="47">
        <f ca="1">IF(L47&gt;0,N47*100/L47,0)</f>
        <v>34.74774</v>
      </c>
      <c r="P47" s="47">
        <f ca="1">IF(M47&gt;0,N47*100/M47,0)</f>
        <v>60.433227462505485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IFERROR(__xludf.DUMMYFUNCTION("IMPORTRANGE(""https://docs.google.com/spreadsheets/d/1-uDff_7J0KD5mKrp0Vvzr7lt3OU09vwQwhkpOPPYv2Y/edit?usp=sharing"",""งบพรบ!P83"")"),200000)</f>
        <v>200000</v>
      </c>
      <c r="M49" s="47">
        <f ca="1">IFERROR(__xludf.DUMMYFUNCTION("IMPORTRANGE(""https://docs.google.com/spreadsheets/d/1-uDff_7J0KD5mKrp0Vvzr7lt3OU09vwQwhkpOPPYv2Y/edit?usp=sharing"",""งบพรบ!V83"")"),114995.48)</f>
        <v>114995.48</v>
      </c>
      <c r="N49" s="47">
        <f ca="1">IFERROR(__xludf.DUMMYFUNCTION("IMPORTRANGE(""https://docs.google.com/spreadsheets/d/1-uDff_7J0KD5mKrp0Vvzr7lt3OU09vwQwhkpOPPYv2Y/edit?usp=sharing"",""งบพรบ!Y83"")"),69495.48)</f>
        <v>69495.48</v>
      </c>
      <c r="O49" s="47">
        <f ca="1">IF(L49&gt;0,N49*100/L49,0)</f>
        <v>34.74774</v>
      </c>
      <c r="P49" s="47">
        <f ca="1">IF(M49&gt;0,N49*100/M49,0)</f>
        <v>60.433227462505485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1622300</v>
      </c>
      <c r="M59" s="106">
        <f ca="1">M60+M61</f>
        <v>1542300</v>
      </c>
      <c r="N59" s="106">
        <f ca="1">N60+N61</f>
        <v>1366705.06</v>
      </c>
      <c r="O59" s="106">
        <f ca="1">IF(L59&gt;0,N59*100/L59,0)</f>
        <v>84.244902915613636</v>
      </c>
      <c r="P59" s="106">
        <f ca="1">IF(M59&gt;0,N59*100/M59,0)</f>
        <v>88.614735135836085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1622300</v>
      </c>
      <c r="M61" s="109">
        <f ca="1">M64+M67</f>
        <v>1542300</v>
      </c>
      <c r="N61" s="109">
        <f ca="1">N64+N67</f>
        <v>1366705.06</v>
      </c>
      <c r="O61" s="109">
        <f ca="1">IF(L61&gt;0,N61*100/L61,0)</f>
        <v>84.244902915613636</v>
      </c>
      <c r="P61" s="109">
        <f ca="1">IF(M61&gt;0,N61*100/M61,0)</f>
        <v>88.614735135836085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614300</v>
      </c>
      <c r="M62" s="47">
        <f ca="1">M63+M64</f>
        <v>634300</v>
      </c>
      <c r="N62" s="47">
        <f ca="1">N63+N64</f>
        <v>467108.67</v>
      </c>
      <c r="O62" s="47">
        <f ca="1">IF(L62&gt;0,N62*100/L62,0)</f>
        <v>76.039177926094737</v>
      </c>
      <c r="P62" s="47">
        <f ca="1">IF(M62&gt;0,N62*100/M62,0)</f>
        <v>73.641600189184928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IFERROR(__xludf.DUMMYFUNCTION("IMPORTRANGE(""https://docs.google.com/spreadsheets/d/1-uDff_7J0KD5mKrp0Vvzr7lt3OU09vwQwhkpOPPYv2Y/edit?usp=sharing"",""งบพรบ!AC83"")"),614300)</f>
        <v>614300</v>
      </c>
      <c r="M64" s="47">
        <f ca="1">IFERROR(__xludf.DUMMYFUNCTION("IMPORTRANGE(""https://docs.google.com/spreadsheets/d/1-uDff_7J0KD5mKrp0Vvzr7lt3OU09vwQwhkpOPPYv2Y/edit?usp=sharing"",""งบพรบ!AH83"")"),634300)</f>
        <v>634300</v>
      </c>
      <c r="N64" s="47">
        <f ca="1">IFERROR(__xludf.DUMMYFUNCTION("IMPORTRANGE(""https://docs.google.com/spreadsheets/d/1-uDff_7J0KD5mKrp0Vvzr7lt3OU09vwQwhkpOPPYv2Y/edit?usp=sharing"",""งบพรบ!AJ83"")"),467108.67)</f>
        <v>467108.67</v>
      </c>
      <c r="O64" s="47">
        <f ca="1">IF(L64&gt;0,N64*100/L64,0)</f>
        <v>76.039177926094737</v>
      </c>
      <c r="P64" s="47">
        <f ca="1">IF(M64&gt;0,N64*100/M64,0)</f>
        <v>73.641600189184928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1008000</v>
      </c>
      <c r="M65" s="47">
        <f ca="1">M66+M67</f>
        <v>908000</v>
      </c>
      <c r="N65" s="47">
        <f ca="1">N66+N67</f>
        <v>899596.39</v>
      </c>
      <c r="O65" s="47">
        <f ca="1">IF(L65&gt;0,N65*100/L65,0)</f>
        <v>89.245673611111116</v>
      </c>
      <c r="P65" s="47">
        <f ca="1">IF(M65&gt;0,N65*100/M65,0)</f>
        <v>99.074492290748893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IFERROR(__xludf.DUMMYFUNCTION("IMPORTRANGE(""https://docs.google.com/spreadsheets/d/1-uDff_7J0KD5mKrp0Vvzr7lt3OU09vwQwhkpOPPYv2Y/edit?usp=sharing"",""งบพรบ!AF83"")"),1008000)</f>
        <v>1008000</v>
      </c>
      <c r="M67" s="111">
        <f ca="1">IFERROR(__xludf.DUMMYFUNCTION("IMPORTRANGE(""https://docs.google.com/spreadsheets/d/1-uDff_7J0KD5mKrp0Vvzr7lt3OU09vwQwhkpOPPYv2Y/edit?usp=sharing"",""งบพรบ!AI83"")"),908000)</f>
        <v>908000</v>
      </c>
      <c r="N67" s="111">
        <f ca="1">IFERROR(__xludf.DUMMYFUNCTION("IMPORTRANGE(""https://docs.google.com/spreadsheets/d/1-uDff_7J0KD5mKrp0Vvzr7lt3OU09vwQwhkpOPPYv2Y/edit?usp=sharing"",""งบพรบ!AK83"")"),899596.39)</f>
        <v>899596.39</v>
      </c>
      <c r="O67" s="111">
        <f ca="1">IF(L67&gt;0,N67*100/L67,0)</f>
        <v>89.245673611111116</v>
      </c>
      <c r="P67" s="111">
        <f ca="1">IF(M67&gt;0,N67*100/M67,0)</f>
        <v>99.074492290748893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IFERROR(__xludf.DUMMYFUNCTION("IMPORTRANGE(""https://docs.google.com/spreadsheets/d/1ItG2mGa2ceCfYo0BwxsXqNm01IGEUdYcSSLTEv9YCik/edit?usp=sharing"",""เบิกจ่ายกองทุน!BH83"")"),0)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IFERROR(__xludf.DUMMYFUNCTION("IMPORTRANGE(""https://docs.google.com/spreadsheets/d/1ItG2mGa2ceCfYo0BwxsXqNm01IGEUdYcSSLTEv9YCik/edit?usp=sharing"",""เบิกจ่ายกองทุน!BI83"")"),0)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IFERROR(__xludf.DUMMYFUNCTION("IMPORTRANGE(""https://docs.google.com/spreadsheets/d/1ItG2mGa2ceCfYo0BwxsXqNm01IGEUdYcSSLTEv9YCik/edit?usp=sharing"",""เบิกจ่ายกองทุน!BJ83"")"),0)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IFERROR(__xludf.DUMMYFUNCTION("IMPORTRANGE(""https://docs.google.com/spreadsheets/d/1ItG2mGa2ceCfYo0BwxsXqNm01IGEUdYcSSLTEv9YCik/edit?usp=sharing"",""เบิกจ่ายกองทุน!BK83"")"),0)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IFERROR(__xludf.DUMMYFUNCTION("IMPORTRANGE(""https://docs.google.com/spreadsheets/d/1ItG2mGa2ceCfYo0BwxsXqNm01IGEUdYcSSLTEv9YCik/edit?usp=sharing"",""เบิกจ่ายกองทุน!BL83"")"),0)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IFERROR(__xludf.DUMMYFUNCTION("IMPORTRANGE(""https://docs.google.com/spreadsheets/d/1ItG2mGa2ceCfYo0BwxsXqNm01IGEUdYcSSLTEv9YCik/edit?usp=sharing"",""เบิกจ่ายกองทุน!BM83"")"),0)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IFERROR(__xludf.DUMMYFUNCTION("IMPORTRANGE(""https://docs.google.com/spreadsheets/d/1eHaY18a8A9IcSdp1K8H6x8fbOy06t2VsZHhMHf-1x7Y/edit?usp=sharing"",""แผน!H83"")"),0)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IFERROR(__xludf.DUMMYFUNCTION("IMPORTRANGE(""https://docs.google.com/spreadsheets/d/1eHaY18a8A9IcSdp1K8H6x8fbOy06t2VsZHhMHf-1x7Y/edit?usp=sharing"",""แผน!I83"")"),0)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IFERROR(__xludf.DUMMYFUNCTION("IMPORTRANGE(""https://docs.google.com/spreadsheets/d/1eHaY18a8A9IcSdp1K8H6x8fbOy06t2VsZHhMHf-1x7Y/edit?usp=sharing"",""แผน!F83"")"),0)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IFERROR(__xludf.DUMMYFUNCTION("IMPORTRANGE(""https://docs.google.com/spreadsheets/d/1eHaY18a8A9IcSdp1K8H6x8fbOy06t2VsZHhMHf-1x7Y/edit?usp=sharing"",""แผน!G83"")"),0)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IFERROR(__xludf.DUMMYFUNCTION("IMPORTRANGE(""https://docs.google.com/spreadsheets/d/1eHaY18a8A9IcSdp1K8H6x8fbOy06t2VsZHhMHf-1x7Y/edit?usp=sharing"",""แผน!D83"")"),0)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IFERROR(__xludf.DUMMYFUNCTION("IMPORTRANGE(""https://docs.google.com/spreadsheets/d/1eHaY18a8A9IcSdp1K8H6x8fbOy06t2VsZHhMHf-1x7Y/edit?usp=sharing"",""แผน!E83"")"),0)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IFERROR(__xludf.DUMMYFUNCTION("IMPORTRANGE(""https://docs.google.com/spreadsheets/d/1eHaY18a8A9IcSdp1K8H6x8fbOy06t2VsZHhMHf-1x7Y/edit?usp=sharing"",""แผน!J83"")"),0)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IFERROR(__xludf.DUMMYFUNCTION("IMPORTRANGE(""https://docs.google.com/spreadsheets/d/1ItG2mGa2ceCfYo0BwxsXqNm01IGEUdYcSSLTEv9YCik/edit?usp=sharing"",""เบิกจ่ายกองทุน!AL83"")"),0)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IFERROR(__xludf.DUMMYFUNCTION("IMPORTRANGE(""https://docs.google.com/spreadsheets/d/1eHaY18a8A9IcSdp1K8H6x8fbOy06t2VsZHhMHf-1x7Y/edit?usp=sharing"",""แผน!N83"")"),0)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IFERROR(__xludf.DUMMYFUNCTION("IMPORTRANGE(""https://docs.google.com/spreadsheets/d/1eHaY18a8A9IcSdp1K8H6x8fbOy06t2VsZHhMHf-1x7Y/edit?usp=sharing"",""แผน!O83"")"),0)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IFERROR(__xludf.DUMMYFUNCTION("IMPORTRANGE(""https://docs.google.com/spreadsheets/d/1eHaY18a8A9IcSdp1K8H6x8fbOy06t2VsZHhMHf-1x7Y/edit?usp=sharing"",""แผน!R83"")"),0)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119650.65</v>
      </c>
      <c r="T117" s="132">
        <f ca="1">IF(Q117&gt;0,S117*100/Q117,0)</f>
        <v>68.899372336749977</v>
      </c>
      <c r="U117" s="132">
        <f ca="1">IF(R117&gt;0,S117*100/R117,0)</f>
        <v>68.899372336749977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119650.65</v>
      </c>
      <c r="T119" s="47">
        <f ca="1">IF(Q119&gt;0,S119*100/Q119,0)</f>
        <v>68.899372336749977</v>
      </c>
      <c r="U119" s="47">
        <f ca="1">IF(R119&gt;0,S119*100/R119,0)</f>
        <v>68.899372336749977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119650.65</v>
      </c>
      <c r="T120" s="47">
        <f ca="1">IF(Q120&gt;0,S120*100/Q120,0)</f>
        <v>68.899372336749977</v>
      </c>
      <c r="U120" s="47">
        <f ca="1">IF(R120&gt;0,S120*100/R120,0)</f>
        <v>68.899372336749977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IFERROR(__xludf.DUMMYFUNCTION("IMPORTRANGE(""https://docs.google.com/spreadsheets/d/1ItG2mGa2ceCfYo0BwxsXqNm01IGEUdYcSSLTEv9YCik/edit?usp=sharing"",""เบิกจ่ายกองทุน!W83"")"),119650.65)</f>
        <v>119650.65</v>
      </c>
      <c r="T122" s="47">
        <f ca="1">IF(Q122&gt;0,S122*100/Q122,0)</f>
        <v>68.899372336749977</v>
      </c>
      <c r="U122" s="47">
        <f ca="1">IF(R122&gt;0,S122*100/R122,0)</f>
        <v>68.899372336749977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IFERROR(__xludf.DUMMYFUNCTION("IMPORTRANGE(""https://docs.google.com/spreadsheets/d/1ItG2mGa2ceCfYo0BwxsXqNm01IGEUdYcSSLTEv9YCik/edit?usp=sharing"",""เบิกจ่ายกองทุน!X83"")"),0)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IFERROR(__xludf.DUMMYFUNCTION("IMPORTRANGE(""https://docs.google.com/spreadsheets/d/1ItG2mGa2ceCfYo0BwxsXqNm01IGEUdYcSSLTEv9YCik/edit?usp=sharing"",""เบิกจ่ายกองทุน!Y83"")"),0)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IFERROR(__xludf.DUMMYFUNCTION("IMPORTRANGE(""https://docs.google.com/spreadsheets/d/1ItG2mGa2ceCfYo0BwxsXqNm01IGEUdYcSSLTEv9YCik/edit?usp=sharing"",""เบิกจ่ายกองทุน!Z83"")"),0)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IFERROR(__xludf.DUMMYFUNCTION("IMPORTRANGE(""https://docs.google.com/spreadsheets/d/1eHaY18a8A9IcSdp1K8H6x8fbOy06t2VsZHhMHf-1x7Y/edit?usp=sharing"",""แผน!FF83"")"),10)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IFERROR(__xludf.DUMMYFUNCTION("IMPORTRANGE(""https://docs.google.com/spreadsheets/d/1eHaY18a8A9IcSdp1K8H6x8fbOy06t2VsZHhMHf-1x7Y/edit?usp=sharing"",""แผน!FG83"")"),1)</f>
        <v>1</v>
      </c>
      <c r="J128" s="167">
        <v>1</v>
      </c>
      <c r="K128" s="47">
        <f ca="1">IF(I128&gt;0,J128*100/I128,0)</f>
        <v>100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IFERROR(__xludf.DUMMYFUNCTION("IMPORTRANGE(""https://docs.google.com/spreadsheets/d/1eHaY18a8A9IcSdp1K8H6x8fbOy06t2VsZHhMHf-1x7Y/edit?usp=sharing"",""แผน!FH83"")"),10)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IFERROR(__xludf.DUMMYFUNCTION("IMPORTRANGE(""https://docs.google.com/spreadsheets/d/1eHaY18a8A9IcSdp1K8H6x8fbOy06t2VsZHhMHf-1x7Y/edit?usp=sharing"",""แผน!FI83"")"),1)</f>
        <v>1</v>
      </c>
      <c r="J130" s="167">
        <v>1</v>
      </c>
      <c r="K130" s="47">
        <f ca="1">IF(I130&gt;0,J130*100/I130,0)</f>
        <v>100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IFERROR(__xludf.DUMMYFUNCTION("IMPORTRANGE(""https://docs.google.com/spreadsheets/d/1ItG2mGa2ceCfYo0BwxsXqNm01IGEUdYcSSLTEv9YCik/edit?usp=sharing"",""เบิกจ่ายกองทุน!CH83"")"),0)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IFERROR(__xludf.DUMMYFUNCTION("IMPORTRANGE(""https://docs.google.com/spreadsheets/d/1ItG2mGa2ceCfYo0BwxsXqNm01IGEUdYcSSLTEv9YCik/edit?usp=sharing"",""เบิกจ่ายกองทุน!CI83"")"),0)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IFERROR(__xludf.DUMMYFUNCTION("IMPORTRANGE(""https://docs.google.com/spreadsheets/d/1ItG2mGa2ceCfYo0BwxsXqNm01IGEUdYcSSLTEv9YCik/edit?usp=sharing"",""เบิกจ่ายกองทุน!CJ83"")"),0)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IFERROR(__xludf.DUMMYFUNCTION("IMPORTRANGE(""https://docs.google.com/spreadsheets/d/1ItG2mGa2ceCfYo0BwxsXqNm01IGEUdYcSSLTEv9YCik/edit?usp=sharing"",""เบิกจ่ายกองทุน!CK83"")"),0)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IFERROR(__xludf.DUMMYFUNCTION("IMPORTRANGE(""https://docs.google.com/spreadsheets/d/1eHaY18a8A9IcSdp1K8H6x8fbOy06t2VsZHhMHf-1x7Y/edit?usp=sharing"",""แผน!U83"")"),0)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IFERROR(__xludf.DUMMYFUNCTION("IMPORTRANGE(""https://docs.google.com/spreadsheets/d/1eHaY18a8A9IcSdp1K8H6x8fbOy06t2VsZHhMHf-1x7Y/edit?usp=sharing"",""แผน!V83"")"),0)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IFERROR(__xludf.DUMMYFUNCTION("IMPORTRANGE(""https://docs.google.com/spreadsheets/d/1eHaY18a8A9IcSdp1K8H6x8fbOy06t2VsZHhMHf-1x7Y/edit?usp=sharing"",""แผน!W83"")"),0)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IFERROR(__xludf.DUMMYFUNCTION("IMPORTRANGE(""https://docs.google.com/spreadsheets/d/1eHaY18a8A9IcSdp1K8H6x8fbOy06t2VsZHhMHf-1x7Y/edit?usp=sharing"",""แผน!X83"")"),0)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IFERROR(__xludf.DUMMYFUNCTION("IMPORTRANGE(""https://docs.google.com/spreadsheets/d/1eHaY18a8A9IcSdp1K8H6x8fbOy06t2VsZHhMHf-1x7Y/edit?usp=sharing"",""แผน!Y83"")"),0)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IFERROR(__xludf.DUMMYFUNCTION("IMPORTRANGE(""https://docs.google.com/spreadsheets/d/1ItG2mGa2ceCfYo0BwxsXqNm01IGEUdYcSSLTEv9YCik/edit?usp=sharing"",""เบิกจ่ายกองทุน!AO83"")"),0)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IFERROR(__xludf.DUMMYFUNCTION("IMPORTRANGE(""https://docs.google.com/spreadsheets/d/1eHaY18a8A9IcSdp1K8H6x8fbOy06t2VsZHhMHf-1x7Y/edit?usp=sharing"",""แผน!Z83"")"),0)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IFERROR(__xludf.DUMMYFUNCTION("IMPORTRANGE(""https://docs.google.com/spreadsheets/d/1eHaY18a8A9IcSdp1K8H6x8fbOy06t2VsZHhMHf-1x7Y/edit?usp=sharing"",""แผน!Z83"")"),0)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IFERROR(__xludf.DUMMYFUNCTION("IMPORTRANGE(""https://docs.google.com/spreadsheets/d/1eHaY18a8A9IcSdp1K8H6x8fbOy06t2VsZHhMHf-1x7Y/edit?usp=sharing"",""แผน!Z83"")"),0)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17470</v>
      </c>
      <c r="N173" s="132">
        <f ca="1">N174+N175</f>
        <v>17470</v>
      </c>
      <c r="O173" s="132">
        <f ca="1">IF(L173&gt;0,N173*100/L173,0)</f>
        <v>0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17470</v>
      </c>
      <c r="N175" s="47">
        <f ca="1">N178+N181</f>
        <v>17470</v>
      </c>
      <c r="O175" s="47">
        <f ca="1">IF(L175&gt;0,N175*100/L175,0)</f>
        <v>0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17470</v>
      </c>
      <c r="N176" s="47">
        <f ca="1">N177+N178</f>
        <v>17470</v>
      </c>
      <c r="O176" s="47">
        <f ca="1">IF(L176&gt;0,N176*100/L176,0)</f>
        <v>0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ca="1">IF(L178&gt;0,N178*100/L178,0)</f>
        <v>0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IFERROR(__xludf.DUMMYFUNCTION("IMPORTRANGE(""https://docs.google.com/spreadsheets/d/1ItG2mGa2ceCfYo0BwxsXqNm01IGEUdYcSSLTEv9YCik/edit?usp=sharing"",""เบิกจ่ายกองทุน!DI83"")"),0)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IFERROR(__xludf.DUMMYFUNCTION("IMPORTRANGE(""https://docs.google.com/spreadsheets/d/1eHaY18a8A9IcSdp1K8H6x8fbOy06t2VsZHhMHf-1x7Y/edit?usp=sharing"",""แผน!AA83"")"),0)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80500</v>
      </c>
      <c r="M186" s="132">
        <f ca="1">M187+M188</f>
        <v>82500</v>
      </c>
      <c r="N186" s="132">
        <f ca="1">N187+N188</f>
        <v>54208.26</v>
      </c>
      <c r="O186" s="132">
        <f ca="1">IF(L186&gt;0,N186*100/L186,0)</f>
        <v>67.33945341614907</v>
      </c>
      <c r="P186" s="132">
        <f ca="1">IF(M186&gt;0,N186*100/M186,0)</f>
        <v>65.706981818181816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80500</v>
      </c>
      <c r="M188" s="47">
        <f ca="1">M191+M194</f>
        <v>82500</v>
      </c>
      <c r="N188" s="47">
        <f ca="1">N191+N194</f>
        <v>54208.26</v>
      </c>
      <c r="O188" s="47">
        <f ca="1">IF(L188&gt;0,N188*100/L188,0)</f>
        <v>67.33945341614907</v>
      </c>
      <c r="P188" s="47">
        <f ca="1">IF(M188&gt;0,N188*100/M188,0)</f>
        <v>65.706981818181816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80500</v>
      </c>
      <c r="M189" s="47">
        <f ca="1">M190+M191</f>
        <v>82500</v>
      </c>
      <c r="N189" s="47">
        <f ca="1">N190+N191</f>
        <v>54208.26</v>
      </c>
      <c r="O189" s="47">
        <f ca="1">IF(L189&gt;0,N189*100/L189,0)</f>
        <v>67.33945341614907</v>
      </c>
      <c r="P189" s="47">
        <f ca="1">IF(M189&gt;0,N189*100/M189,0)</f>
        <v>65.706981818181816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IFERROR(__xludf.DUMMYFUNCTION("IMPORTRANGE(""https://docs.google.com/spreadsheets/d/1-uDff_7J0KD5mKrp0Vvzr7lt3OU09vwQwhkpOPPYv2Y/edit?usp=sharing"",""งบพรบ!CZ83"")"),82500)</f>
        <v>82500</v>
      </c>
      <c r="N191" s="47">
        <f ca="1">IFERROR(__xludf.DUMMYFUNCTION("IMPORTRANGE(""https://docs.google.com/spreadsheets/d/1-uDff_7J0KD5mKrp0Vvzr7lt3OU09vwQwhkpOPPYv2Y/edit?usp=sharing"",""งบพรบ!DB83"")"),54208.26)</f>
        <v>54208.26</v>
      </c>
      <c r="O191" s="47">
        <f ca="1">IF(L191&gt;0,N191*100/L191,0)</f>
        <v>67.33945341614907</v>
      </c>
      <c r="P191" s="47">
        <f ca="1">IF(M191&gt;0,N191*100/M191,0)</f>
        <v>65.706981818181816</v>
      </c>
      <c r="Q191" s="47">
        <f ca="1">IFERROR(__xludf.DUMMYFUNCTION("IMPORTRANGE(""https://docs.google.com/spreadsheets/d/1ItG2mGa2ceCfYo0BwxsXqNm01IGEUdYcSSLTEv9YCik/edit?usp=sharing"",""เบิกจ่ายกองทุน!BQ83"")"),0)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IFERROR(__xludf.DUMMYFUNCTION("IMPORTRANGE(""https://docs.google.com/spreadsheets/d/1ItG2mGa2ceCfYo0BwxsXqNm01IGEUdYcSSLTEv9YCik/edit?usp=sharing"",""เบิกจ่ายกองทุน!BS83"")"),0)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IFERROR(__xludf.DUMMYFUNCTION("IMPORTRANGE(""https://docs.google.com/spreadsheets/d/1ItG2mGa2ceCfYo0BwxsXqNm01IGEUdYcSSLTEv9YCik/edit?usp=sharing"",""เบิกจ่ายกองทุน!BT83"")"),0)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IFERROR(__xludf.DUMMYFUNCTION("IMPORTRANGE(""https://docs.google.com/spreadsheets/d/1ItG2mGa2ceCfYo0BwxsXqNm01IGEUdYcSSLTEv9YCik/edit?usp=sharing"",""เบิกจ่ายกองทุน!BU83"")"),0)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IFERROR(__xludf.DUMMYFUNCTION("IMPORTRANGE(""https://docs.google.com/spreadsheets/d/1ItG2mGa2ceCfYo0BwxsXqNm01IGEUdYcSSLTEv9YCik/edit?usp=sharing"",""เบิกจ่ายกองทุน!BV83"")"),0)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769">
        <v>1900</v>
      </c>
      <c r="O196" s="132">
        <f ca="1">IF(L196&gt;0,N196*100/L196,0)</f>
        <v>31.666666666666668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IFERROR(__xludf.DUMMYFUNCTION("IMPORTRANGE(""https://docs.google.com/spreadsheets/d/1eHaY18a8A9IcSdp1K8H6x8fbOy06t2VsZHhMHf-1x7Y/edit?usp=sharing"",""แผน!AE83"")"),4)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47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47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hidden="1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IFERROR(__xludf.DUMMYFUNCTION("IMPORTRANGE(""https://docs.google.com/spreadsheets/d/1eHaY18a8A9IcSdp1K8H6x8fbOy06t2VsZHhMHf-1x7Y/edit?usp=sharing"",""แผน!AG83"")"),0)</f>
        <v>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88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IFERROR(__xludf.DUMMYFUNCTION("IMPORTRANGE(""https://docs.google.com/spreadsheets/d/1eHaY18a8A9IcSdp1K8H6x8fbOy06t2VsZHhMHf-1x7Y/edit?usp=sharing"",""แผน!AH83"")"),0)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95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IFERROR(__xludf.DUMMYFUNCTION("IMPORTRANGE(""https://docs.google.com/spreadsheets/d/1eHaY18a8A9IcSdp1K8H6x8fbOy06t2VsZHhMHf-1x7Y/edit?usp=sharing"",""แผน!AI83"")"),0)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IFERROR(__xludf.DUMMYFUNCTION("IMPORTRANGE(""https://docs.google.com/spreadsheets/d/1eHaY18a8A9IcSdp1K8H6x8fbOy06t2VsZHhMHf-1x7Y/edit?usp=sharing"",""แผน!LV83"")"),0)</f>
        <v>0</v>
      </c>
      <c r="R206" s="46"/>
      <c r="S206" s="743">
        <v>0</v>
      </c>
      <c r="T206" s="136"/>
      <c r="U206" s="46"/>
    </row>
    <row r="207" spans="1:21" ht="18.75" hidden="1" x14ac:dyDescent="0.25">
      <c r="A207" s="217"/>
      <c r="B207" s="159"/>
      <c r="C207" s="41"/>
      <c r="D207" s="41"/>
      <c r="E207" s="41"/>
      <c r="F207" s="41"/>
      <c r="G207" s="43"/>
      <c r="H207" s="43"/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IFERROR(__xludf.DUMMYFUNCTION("IMPORTRANGE(""https://docs.google.com/spreadsheets/d/1eHaY18a8A9IcSdp1K8H6x8fbOy06t2VsZHhMHf-1x7Y/edit?usp=sharing"",""แผน!AJ83"")"),0)</f>
        <v>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IFERROR(__xludf.DUMMYFUNCTION("IMPORTRANGE(""https://docs.google.com/spreadsheets/d/1eHaY18a8A9IcSdp1K8H6x8fbOy06t2VsZHhMHf-1x7Y/edit?usp=sharing"",""แผน!AK83"")"),0)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IFERROR(__xludf.DUMMYFUNCTION("IMPORTRANGE(""https://docs.google.com/spreadsheets/d/1eHaY18a8A9IcSdp1K8H6x8fbOy06t2VsZHhMHf-1x7Y/edit?usp=sharing"",""แผน!AK83"")"),0)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IFERROR(__xludf.DUMMYFUNCTION("IMPORTRANGE(""https://docs.google.com/spreadsheets/d/1eHaY18a8A9IcSdp1K8H6x8fbOy06t2VsZHhMHf-1x7Y/edit?usp=sharing"",""แผน!AM83"")"),0)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IFERROR(__xludf.DUMMYFUNCTION("IMPORTRANGE(""https://docs.google.com/spreadsheets/d/1eHaY18a8A9IcSdp1K8H6x8fbOy06t2VsZHhMHf-1x7Y/edit?usp=sharing"",""แผน!AN83"")"),0)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IFERROR(__xludf.DUMMYFUNCTION("IMPORTRANGE(""https://docs.google.com/spreadsheets/d/1eHaY18a8A9IcSdp1K8H6x8fbOy06t2VsZHhMHf-1x7Y/edit?usp=sharing"",""แผน!AO83"")"),0)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IFERROR(__xludf.DUMMYFUNCTION("IMPORTRANGE(""https://docs.google.com/spreadsheets/d/1eHaY18a8A9IcSdp1K8H6x8fbOy06t2VsZHhMHf-1x7Y/edit?usp=sharing"",""แผน!LY83"")"),0)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IFERROR(__xludf.DUMMYFUNCTION("IMPORTRANGE(""https://docs.google.com/spreadsheets/d/1eHaY18a8A9IcSdp1K8H6x8fbOy06t2VsZHhMHf-1x7Y/edit?usp=sharing"",""แผน!AP83"")"),0)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hidden="1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hidden="1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hidden="1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IFERROR(__xludf.DUMMYFUNCTION("IMPORTRANGE(""https://docs.google.com/spreadsheets/d/1eHaY18a8A9IcSdp1K8H6x8fbOy06t2VsZHhMHf-1x7Y/edit?usp=sharing"",""แผน!AR83"")"),0)</f>
        <v>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hidden="1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IFERROR(__xludf.DUMMYFUNCTION("IMPORTRANGE(""https://docs.google.com/spreadsheets/d/1eHaY18a8A9IcSdp1K8H6x8fbOy06t2VsZHhMHf-1x7Y/edit?usp=sharing"",""แผน!AS83"")"),0)</f>
        <v>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hidden="1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IFERROR(__xludf.DUMMYFUNCTION("IMPORTRANGE(""https://docs.google.com/spreadsheets/d/1eHaY18a8A9IcSdp1K8H6x8fbOy06t2VsZHhMHf-1x7Y/edit?usp=sharing"",""แผน!AT83"")"),0)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hidden="1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hidden="1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IFERROR(__xludf.DUMMYFUNCTION("IMPORTRANGE(""https://docs.google.com/spreadsheets/d/1eHaY18a8A9IcSdp1K8H6x8fbOy06t2VsZHhMHf-1x7Y/edit?usp=sharing"",""แผน!AV83"")"),0)</f>
        <v>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hidden="1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IFERROR(__xludf.DUMMYFUNCTION("IMPORTRANGE(""https://docs.google.com/spreadsheets/d/1eHaY18a8A9IcSdp1K8H6x8fbOy06t2VsZHhMHf-1x7Y/edit?usp=sharing"",""แผน!AU83"")"),0)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IFERROR(__xludf.DUMMYFUNCTION("IMPORTRANGE(""https://docs.google.com/spreadsheets/d/1eHaY18a8A9IcSdp1K8H6x8fbOy06t2VsZHhMHf-1x7Y/edit?usp=sharing"",""แผน!AX83"")"),0)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IFERROR(__xludf.DUMMYFUNCTION("IMPORTRANGE(""https://docs.google.com/spreadsheets/d/1eHaY18a8A9IcSdp1K8H6x8fbOy06t2VsZHhMHf-1x7Y/edit?usp=sharing"",""แผน!AY83"")"),0)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IFERROR(__xludf.DUMMYFUNCTION("IMPORTRANGE(""https://docs.google.com/spreadsheets/d/1eHaY18a8A9IcSdp1K8H6x8fbOy06t2VsZHhMHf-1x7Y/edit?usp=sharing"",""แผน!AZ83"")"),0)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IFERROR(__xludf.DUMMYFUNCTION("IMPORTRANGE(""https://docs.google.com/spreadsheets/d/1eHaY18a8A9IcSdp1K8H6x8fbOy06t2VsZHhMHf-1x7Y/edit?usp=sharing"",""แผน!BA83"")"),0)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IFERROR(__xludf.DUMMYFUNCTION("IMPORTRANGE(""https://docs.google.com/spreadsheets/d/1eHaY18a8A9IcSdp1K8H6x8fbOy06t2VsZHhMHf-1x7Y/edit?usp=sharing"",""แผน!BG83"")"),0)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IFERROR(__xludf.DUMMYFUNCTION("IMPORTRANGE(""https://docs.google.com/spreadsheets/d/1eHaY18a8A9IcSdp1K8H6x8fbOy06t2VsZHhMHf-1x7Y/edit?usp=sharing"",""แผน!BB83"")"),0)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IFERROR(__xludf.DUMMYFUNCTION("IMPORTRANGE(""https://docs.google.com/spreadsheets/d/1eHaY18a8A9IcSdp1K8H6x8fbOy06t2VsZHhMHf-1x7Y/edit?usp=sharing"",""แผน!BC83"")"),0)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IFERROR(__xludf.DUMMYFUNCTION("IMPORTRANGE(""https://docs.google.com/spreadsheets/d/1eHaY18a8A9IcSdp1K8H6x8fbOy06t2VsZHhMHf-1x7Y/edit?usp=sharing"",""แผน!BD83"")"),0)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IFERROR(__xludf.DUMMYFUNCTION("IMPORTRANGE(""https://docs.google.com/spreadsheets/d/1eHaY18a8A9IcSdp1K8H6x8fbOy06t2VsZHhMHf-1x7Y/edit?usp=sharing"",""แผน!BE83"")"),0)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IFERROR(__xludf.DUMMYFUNCTION("IMPORTRANGE(""https://docs.google.com/spreadsheets/d/1eHaY18a8A9IcSdp1K8H6x8fbOy06t2VsZHhMHf-1x7Y/edit?usp=sharing"",""แผน!BH83"")"),0)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45780</v>
      </c>
      <c r="T266" s="421">
        <f ca="1">IF(Q266&gt;0,S266*100/Q266,0)</f>
        <v>90.367153572838532</v>
      </c>
      <c r="U266" s="421">
        <f ca="1">IF(R266&gt;0,S266*100/R266,0)</f>
        <v>90.367153572838532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45780</v>
      </c>
      <c r="T268" s="331">
        <f ca="1">IF(Q268&gt;0,S268*100/Q268,0)</f>
        <v>90.367153572838532</v>
      </c>
      <c r="U268" s="331">
        <f ca="1">IF(R268&gt;0,S268*100/R268,0)</f>
        <v>90.367153572838532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45780</v>
      </c>
      <c r="T269" s="331">
        <f ca="1">IF(Q269&gt;0,S269*100/Q269,0)</f>
        <v>90.367153572838532</v>
      </c>
      <c r="U269" s="331">
        <f ca="1">IF(R269&gt;0,S269*100/R269,0)</f>
        <v>90.367153572838532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IFERROR(__xludf.DUMMYFUNCTION("IMPORTRANGE(""https://docs.google.com/spreadsheets/d/1-uDff_7J0KD5mKrp0Vvzr7lt3OU09vwQwhkpOPPYv2Y/edit?usp=sharing"",""งบพรบ!DE83"")"),5000)</f>
        <v>5000</v>
      </c>
      <c r="M271" s="331">
        <f ca="1">IFERROR(__xludf.DUMMYFUNCTION("IMPORTRANGE(""https://docs.google.com/spreadsheets/d/1-uDff_7J0KD5mKrp0Vvzr7lt3OU09vwQwhkpOPPYv2Y/edit?usp=sharing"",""งบพรบ!DJ83"")"),5000)</f>
        <v>5000</v>
      </c>
      <c r="N271" s="331">
        <f ca="1">IFERROR(__xludf.DUMMYFUNCTION("IMPORTRANGE(""https://docs.google.com/spreadsheets/d/1-uDff_7J0KD5mKrp0Vvzr7lt3OU09vwQwhkpOPPYv2Y/edit?usp=sharing"",""งบพรบ!DL83"")"),5000)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IFERROR(__xludf.DUMMYFUNCTION("IMPORTRANGE(""https://docs.google.com/spreadsheets/d/1ItG2mGa2ceCfYo0BwxsXqNm01IGEUdYcSSLTEv9YCik/edit?usp=sharing"",""เบิกจ่ายกองทุน!AP83"")"),50660)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IFERROR(__xludf.DUMMYFUNCTION("IMPORTRANGE(""https://docs.google.com/spreadsheets/d/1ItG2mGa2ceCfYo0BwxsXqNm01IGEUdYcSSLTEv9YCik/edit?usp=sharing"",""เบิกจ่ายกองทุน!AQ83"")"),50660)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IFERROR(__xludf.DUMMYFUNCTION("IMPORTRANGE(""https://docs.google.com/spreadsheets/d/1ItG2mGa2ceCfYo0BwxsXqNm01IGEUdYcSSLTEv9YCik/edit?usp=sharing"",""เบิกจ่ายกองทุน!AR83"")"),45780)</f>
        <v>45780</v>
      </c>
      <c r="T271" s="331">
        <f ca="1">IF(Q271&gt;0,S271*100/Q271,0)</f>
        <v>90.367153572838532</v>
      </c>
      <c r="U271" s="331">
        <f ca="1">IF(R271&gt;0,S271*100/R271,0)</f>
        <v>90.367153572838532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IFERROR(__xludf.DUMMYFUNCTION("IMPORTRANGE(""https://docs.google.com/spreadsheets/d/1-uDff_7J0KD5mKrp0Vvzr7lt3OU09vwQwhkpOPPYv2Y/edit?usp=sharing"",""งบพรบ!DH83"")"),0)</f>
        <v>0</v>
      </c>
      <c r="M274" s="331">
        <f ca="1">IFERROR(__xludf.DUMMYFUNCTION("IMPORTRANGE(""https://docs.google.com/spreadsheets/d/1-uDff_7J0KD5mKrp0Vvzr7lt3OU09vwQwhkpOPPYv2Y/edit?usp=sharing"",""งบพรบ!DK83"")"),0)</f>
        <v>0</v>
      </c>
      <c r="N274" s="331">
        <f ca="1">IFERROR(__xludf.DUMMYFUNCTION("IMPORTRANGE(""https://docs.google.com/spreadsheets/d/1-uDff_7J0KD5mKrp0Vvzr7lt3OU09vwQwhkpOPPYv2Y/edit?usp=sharing"",""งบพรบ!DM83"")"),0)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IFERROR(__xludf.DUMMYFUNCTION("IMPORTRANGE(""https://docs.google.com/spreadsheets/d/1eHaY18a8A9IcSdp1K8H6x8fbOy06t2VsZHhMHf-1x7Y/edit?usp=sharing"",""แผน!EC83"")"),22)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IFERROR(__xludf.DUMMYFUNCTION("IMPORTRANGE(""https://docs.google.com/spreadsheets/d/1eHaY18a8A9IcSdp1K8H6x8fbOy06t2VsZHhMHf-1x7Y/edit?usp=sharing"",""แผน!EE83"")"),0)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IFERROR(__xludf.DUMMYFUNCTION("IMPORTRANGE(""https://docs.google.com/spreadsheets/d/1eHaY18a8A9IcSdp1K8H6x8fbOy06t2VsZHhMHf-1x7Y/edit?usp=sharing"",""แผน!ED83"")"),0)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IFERROR(__xludf.DUMMYFUNCTION("IMPORTRANGE(""https://docs.google.com/spreadsheets/d/1eHaY18a8A9IcSdp1K8H6x8fbOy06t2VsZHhMHf-1x7Y/edit?usp=sharing"",""แผน!ED83"")"),0)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IFERROR(__xludf.DUMMYFUNCTION("IMPORTRANGE(""https://docs.google.com/spreadsheets/d/1ItG2mGa2ceCfYo0BwxsXqNm01IGEUdYcSSLTEv9YCik/edit?usp=sharing"",""เบิกจ่ายกองทุน!BD83"")"),0)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IFERROR(__xludf.DUMMYFUNCTION("IMPORTRANGE(""https://docs.google.com/spreadsheets/d/1eHaY18a8A9IcSdp1K8H6x8fbOy06t2VsZHhMHf-1x7Y/edit?usp=sharing"",""แผน!EF83"")"),0)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IFERROR(__xludf.DUMMYFUNCTION("IMPORTRANGE(""https://docs.google.com/spreadsheets/d/1eHaY18a8A9IcSdp1K8H6x8fbOy06t2VsZHhMHf-1x7Y/edit?usp=sharing"",""แผน!EJ83"")"),0)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120</v>
      </c>
      <c r="J332" s="697">
        <f ca="1">J344+J347+J348+J349+J353</f>
        <v>326</v>
      </c>
      <c r="K332" s="696">
        <f ca="1">IF(I332&gt;0,J332*100/I332,0)</f>
        <v>271.66666666666669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260428.96</v>
      </c>
      <c r="O333" s="132">
        <f ca="1">IF(L333&gt;0,N333*100/L333,0)</f>
        <v>72.990179372197304</v>
      </c>
      <c r="P333" s="132">
        <f ca="1">IF(M333&gt;0,N333*100/M333,0)</f>
        <v>72.990179372197304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260428.96</v>
      </c>
      <c r="O335" s="47">
        <f ca="1">IF(L335&gt;0,N335*100/L335,0)</f>
        <v>72.990179372197304</v>
      </c>
      <c r="P335" s="47">
        <f ca="1">IF(M335&gt;0,N335*100/M335,0)</f>
        <v>72.990179372197304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260428.96</v>
      </c>
      <c r="O336" s="47">
        <f ca="1">IF(L336&gt;0,N336*100/L336,0)</f>
        <v>72.990179372197304</v>
      </c>
      <c r="P336" s="47">
        <f ca="1">IF(M336&gt;0,N336*100/M336,0)</f>
        <v>72.990179372197304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IFERROR(__xludf.DUMMYFUNCTION("IMPORTRANGE(""https://docs.google.com/spreadsheets/d/1-uDff_7J0KD5mKrp0Vvzr7lt3OU09vwQwhkpOPPYv2Y/edit?usp=sharing"",""งบพรบ!ES83"")"),356800)</f>
        <v>356800</v>
      </c>
      <c r="M338" s="47">
        <f ca="1">IFERROR(__xludf.DUMMYFUNCTION("IMPORTRANGE(""https://docs.google.com/spreadsheets/d/1-uDff_7J0KD5mKrp0Vvzr7lt3OU09vwQwhkpOPPYv2Y/edit?usp=sharing"",""งบพรบ!EX83"")"),356800)</f>
        <v>356800</v>
      </c>
      <c r="N338" s="47">
        <f ca="1">IFERROR(__xludf.DUMMYFUNCTION("IMPORTRANGE(""https://docs.google.com/spreadsheets/d/1-uDff_7J0KD5mKrp0Vvzr7lt3OU09vwQwhkpOPPYv2Y/edit?usp=sharing"",""งบพรบ!EZ83"")"),260428.96)</f>
        <v>260428.96</v>
      </c>
      <c r="O338" s="47">
        <f ca="1">IF(L338&gt;0,N338*100/L338,0)</f>
        <v>72.990179372197304</v>
      </c>
      <c r="P338" s="47">
        <f ca="1">IF(M338&gt;0,N338*100/M338,0)</f>
        <v>72.990179372197304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152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IFERROR(__xludf.DUMMYFUNCTION("IMPORTRANGE(""https://docs.google.com/spreadsheets/d/1eHaY18a8A9IcSdp1K8H6x8fbOy06t2VsZHhMHf-1x7Y/edit?usp=sharing"",""แผน!EK83"")"),120)</f>
        <v>120</v>
      </c>
      <c r="J344" s="152">
        <f ca="1">IFERROR(__xludf.DUMMYFUNCTION("IMPORTRANGE(""https://docs.google.com/spreadsheets/d/1awYsYK3VOup2i3Pq_Yjnu8DRu_mYwSBnCR2QPthd0rU/edit?usp=sharing"",""ศูนย์ยกเว้นโฉนด!D83"")"),149)</f>
        <v>149</v>
      </c>
      <c r="K344" s="47">
        <f ca="1">IF(I344&gt;0,J344*100/I344,0)</f>
        <v>124.16666666666667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IFERROR(__xludf.DUMMYFUNCTION("IMPORTRANGE(""https://docs.google.com/spreadsheets/d/1eHaY18a8A9IcSdp1K8H6x8fbOy06t2VsZHhMHf-1x7Y/edit?usp=sharing"",""แผน!EL83"")"),1)</f>
        <v>1</v>
      </c>
      <c r="J346" s="15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IFERROR(__xludf.DUMMYFUNCTION("IMPORTRANGE(""https://docs.google.com/spreadsheets/d/1awYsYK3VOup2i3Pq_Yjnu8DRu_mYwSBnCR2QPthd0rU/edit?usp=sharing"",""ศูนย์ยกเว้นโฉนด!F83"")"),3)</f>
        <v>3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176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IFERROR(__xludf.DUMMYFUNCTION("IMPORTRANGE(""https://docs.google.com/spreadsheets/d/1awYsYK3VOup2i3Pq_Yjnu8DRu_mYwSBnCR2QPthd0rU/edit?usp=sharing"",""โฉนดM3!G83"")"),2)</f>
        <v>2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IFERROR(__xludf.DUMMYFUNCTION("IMPORTRANGE(""https://docs.google.com/spreadsheets/d/1awYsYK3VOup2i3Pq_Yjnu8DRu_mYwSBnCR2QPthd0rU/edit?usp=sharing"",""โฉนดM3!H83"")"),174)</f>
        <v>174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363490</v>
      </c>
      <c r="M356" s="132">
        <f ca="1">M357+M358</f>
        <v>406490</v>
      </c>
      <c r="N356" s="132">
        <f ca="1">N357+N358</f>
        <v>252325</v>
      </c>
      <c r="O356" s="132">
        <f ca="1">IF(L356&gt;0,N356*100/L356,0)</f>
        <v>69.417315469476463</v>
      </c>
      <c r="P356" s="132">
        <f ca="1">IF(M356&gt;0,N356*100/M356,0)</f>
        <v>62.074097763782625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363490</v>
      </c>
      <c r="M358" s="47">
        <f ca="1">M361+M364</f>
        <v>406490</v>
      </c>
      <c r="N358" s="47">
        <f ca="1">N361+N364</f>
        <v>252325</v>
      </c>
      <c r="O358" s="47">
        <f ca="1">IF(L358&gt;0,N358*100/L358,0)</f>
        <v>69.417315469476463</v>
      </c>
      <c r="P358" s="47">
        <f ca="1">IF(M358&gt;0,N358*100/M358,0)</f>
        <v>62.074097763782625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363490</v>
      </c>
      <c r="M359" s="47">
        <f ca="1">M360+M361</f>
        <v>406490</v>
      </c>
      <c r="N359" s="47">
        <f ca="1">N360+N361</f>
        <v>252325</v>
      </c>
      <c r="O359" s="47">
        <f ca="1">IF(L359&gt;0,N359*100/L359,0)</f>
        <v>69.417315469476463</v>
      </c>
      <c r="P359" s="47">
        <f ca="1">IF(M359&gt;0,N359*100/M359,0)</f>
        <v>62.074097763782625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IFERROR(__xludf.DUMMYFUNCTION("IMPORTRANGE(""https://docs.google.com/spreadsheets/d/1-uDff_7J0KD5mKrp0Vvzr7lt3OU09vwQwhkpOPPYv2Y/edit?usp=sharing"",""งบพรบ!FC83"")"),363490)</f>
        <v>363490</v>
      </c>
      <c r="M361" s="47">
        <f ca="1">IFERROR(__xludf.DUMMYFUNCTION("IMPORTRANGE(""https://docs.google.com/spreadsheets/d/1-uDff_7J0KD5mKrp0Vvzr7lt3OU09vwQwhkpOPPYv2Y/edit?usp=sharing"",""งบพรบ!FH83"")"),406490)</f>
        <v>406490</v>
      </c>
      <c r="N361" s="47">
        <f ca="1">IFERROR(__xludf.DUMMYFUNCTION("IMPORTRANGE(""https://docs.google.com/spreadsheets/d/1-uDff_7J0KD5mKrp0Vvzr7lt3OU09vwQwhkpOPPYv2Y/edit?usp=sharing"",""งบพรบ!FJ83"")"),252325)</f>
        <v>252325</v>
      </c>
      <c r="O361" s="47">
        <f ca="1">IF(L361&gt;0,N361*100/L361,0)</f>
        <v>69.417315469476463</v>
      </c>
      <c r="P361" s="47">
        <f ca="1">IF(M361&gt;0,N361*100/M361,0)</f>
        <v>62.074097763782625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42</v>
      </c>
      <c r="J365" s="228">
        <f ca="1">J371</f>
        <v>44</v>
      </c>
      <c r="K365" s="229">
        <f ca="1">IF(I365&gt;0,J365*100/I365,0)</f>
        <v>104.76190476190476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IFERROR(__xludf.DUMMYFUNCTION("IMPORTRANGE(""https://docs.google.com/spreadsheets/d/1tdoBKaGub7dwA3U6UFTqxio9LNnvDCQjHKmttSEBsFQ/edit?usp=sharing"",""จัดที่ดิน!AB83"")"),27)</f>
        <v>27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IFERROR(__xludf.DUMMYFUNCTION("IMPORTRANGE(""https://docs.google.com/spreadsheets/d/1eHaY18a8A9IcSdp1K8H6x8fbOy06t2VsZHhMHf-1x7Y/edit?usp=sharing"",""แผน!EW83"")"),175)</f>
        <v>175</v>
      </c>
      <c r="J368" s="685">
        <f ca="1">IFERROR(__xludf.DUMMYFUNCTION("IMPORTRANGE(""https://docs.google.com/spreadsheets/d/1tdoBKaGub7dwA3U6UFTqxio9LNnvDCQjHKmttSEBsFQ/edit?usp=sharing"",""จัดที่ดิน!AC83"")"),120.49)</f>
        <v>120.49</v>
      </c>
      <c r="K368" s="47">
        <f ca="1">IF(I368&gt;0,J368*100/I368,0)</f>
        <v>68.851428571428571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IFERROR(__xludf.DUMMYFUNCTION("IMPORTRANGE(""https://docs.google.com/spreadsheets/d/1eHaY18a8A9IcSdp1K8H6x8fbOy06t2VsZHhMHf-1x7Y/edit?usp=sharing"",""แผน!EX83"")"),42)</f>
        <v>42</v>
      </c>
      <c r="J369" s="152">
        <f ca="1">IFERROR(__xludf.DUMMYFUNCTION("IMPORTRANGE(""https://docs.google.com/spreadsheets/d/1tdoBKaGub7dwA3U6UFTqxio9LNnvDCQjHKmttSEBsFQ/edit?usp=sharing"",""จัดที่ดิน!AD83"")"),44)</f>
        <v>44</v>
      </c>
      <c r="K369" s="47">
        <f ca="1">IF(I369&gt;0,J369*100/I369,0)</f>
        <v>104.76190476190476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IFERROR(__xludf.DUMMYFUNCTION("IMPORTRANGE(""https://docs.google.com/spreadsheets/d/1tdoBKaGub7dwA3U6UFTqxio9LNnvDCQjHKmttSEBsFQ/edit?usp=sharing"",""จัดที่ดิน!AE83"")"),338.49)</f>
        <v>338.49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IFERROR(__xludf.DUMMYFUNCTION("IMPORTRANGE(""https://docs.google.com/spreadsheets/d/1eHaY18a8A9IcSdp1K8H6x8fbOy06t2VsZHhMHf-1x7Y/edit?usp=sharing"",""แผน!EY83"")"),42)</f>
        <v>42</v>
      </c>
      <c r="J371" s="152">
        <f ca="1">IFERROR(__xludf.DUMMYFUNCTION("IMPORTRANGE(""https://docs.google.com/spreadsheets/d/1tdoBKaGub7dwA3U6UFTqxio9LNnvDCQjHKmttSEBsFQ/edit?usp=sharing"",""จัดที่ดิน!AF83"")"),44)</f>
        <v>44</v>
      </c>
      <c r="K371" s="47">
        <f ca="1">IF(I371&gt;0,J371*100/I371,0)</f>
        <v>104.76190476190476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IFERROR(__xludf.DUMMYFUNCTION("IMPORTRANGE(""https://docs.google.com/spreadsheets/d/1tdoBKaGub7dwA3U6UFTqxio9LNnvDCQjHKmttSEBsFQ/edit?usp=sharing"",""จัดที่ดิน!AG83"")"),338.49)</f>
        <v>338.49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200</v>
      </c>
      <c r="J374" s="677">
        <f ca="1">J386+J388</f>
        <v>17</v>
      </c>
      <c r="K374" s="676">
        <f ca="1">IF(I374&gt;0,J374*100/I374,0)</f>
        <v>8.5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41000</v>
      </c>
      <c r="M375" s="132">
        <f ca="1">M376+M377</f>
        <v>41000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12500</v>
      </c>
      <c r="R375" s="132">
        <f ca="1">R376+R377</f>
        <v>12500</v>
      </c>
      <c r="S375" s="132">
        <f ca="1">S376+S377</f>
        <v>240</v>
      </c>
      <c r="T375" s="132">
        <f ca="1">IF(Q375&gt;0,S375*100/Q375,0)</f>
        <v>1.92</v>
      </c>
      <c r="U375" s="132">
        <f ca="1">IF(R375&gt;0,S375*100/R375,0)</f>
        <v>1.92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41000</v>
      </c>
      <c r="M377" s="47">
        <f ca="1">M380+M383</f>
        <v>41000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12500</v>
      </c>
      <c r="R377" s="47">
        <f ca="1">R380+R383</f>
        <v>12500</v>
      </c>
      <c r="S377" s="47">
        <f ca="1">S380+S383</f>
        <v>240</v>
      </c>
      <c r="T377" s="47">
        <f ca="1">IF(Q377&gt;0,S377*100/Q377,0)</f>
        <v>1.92</v>
      </c>
      <c r="U377" s="47">
        <f ca="1">IF(R377&gt;0,S377*100/R377,0)</f>
        <v>1.92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41000</v>
      </c>
      <c r="M378" s="47">
        <f ca="1">M379+M380</f>
        <v>41000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12500</v>
      </c>
      <c r="R378" s="47">
        <f ca="1">R379+R380</f>
        <v>12500</v>
      </c>
      <c r="S378" s="47">
        <f ca="1">S379+S380</f>
        <v>240</v>
      </c>
      <c r="T378" s="47">
        <f ca="1">IF(Q378&gt;0,S378*100/Q378,0)</f>
        <v>1.92</v>
      </c>
      <c r="U378" s="47">
        <f ca="1">IF(R378&gt;0,S378*100/R378,0)</f>
        <v>1.92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IFERROR(__xludf.DUMMYFUNCTION("IMPORTRANGE(""https://docs.google.com/spreadsheets/d/1-uDff_7J0KD5mKrp0Vvzr7lt3OU09vwQwhkpOPPYv2Y/edit?usp=sharing"",""งบพรบ!IE83"")"),41000)</f>
        <v>41000</v>
      </c>
      <c r="M380" s="47">
        <f ca="1">IFERROR(__xludf.DUMMYFUNCTION("IMPORTRANGE(""https://docs.google.com/spreadsheets/d/1-uDff_7J0KD5mKrp0Vvzr7lt3OU09vwQwhkpOPPYv2Y/edit?usp=sharing"",""งบพรบ!IJ83"")"),41000)</f>
        <v>41000</v>
      </c>
      <c r="N380" s="47">
        <f ca="1">IFERROR(__xludf.DUMMYFUNCTION("IMPORTRANGE(""https://docs.google.com/spreadsheets/d/1-uDff_7J0KD5mKrp0Vvzr7lt3OU09vwQwhkpOPPYv2Y/edit?usp=sharing"",""งบพรบ!IL83"")"),0)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IFERROR(__xludf.DUMMYFUNCTION("IMPORTRANGE(""https://docs.google.com/spreadsheets/d/1ItG2mGa2ceCfYo0BwxsXqNm01IGEUdYcSSLTEv9YCik/edit?usp=sharing"",""เบิกจ่ายกองทุน!BX83"")"),12500)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IFERROR(__xludf.DUMMYFUNCTION("IMPORTRANGE(""https://docs.google.com/spreadsheets/d/1ItG2mGa2ceCfYo0BwxsXqNm01IGEUdYcSSLTEv9YCik/edit?usp=sharing"",""เบิกจ่ายกองทุน!BY83"")"),240)</f>
        <v>240</v>
      </c>
      <c r="T380" s="47">
        <f ca="1">IF(Q380&gt;0,S380*100/Q380,0)</f>
        <v>1.92</v>
      </c>
      <c r="U380" s="47">
        <f ca="1">IF(R380&gt;0,S380*100/R380,0)</f>
        <v>1.92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IFERROR(__xludf.DUMMYFUNCTION("IMPORTRANGE(""https://docs.google.com/spreadsheets/d/1-uDff_7J0KD5mKrp0Vvzr7lt3OU09vwQwhkpOPPYv2Y/edit?usp=sharing"",""งบพรบ!IH83"")"),0)</f>
        <v>0</v>
      </c>
      <c r="M383" s="47">
        <f ca="1">IFERROR(__xludf.DUMMYFUNCTION("IMPORTRANGE(""https://docs.google.com/spreadsheets/d/1-uDff_7J0KD5mKrp0Vvzr7lt3OU09vwQwhkpOPPYv2Y/edit?usp=sharing"",""งบพรบ!IK83"")"),0)</f>
        <v>0</v>
      </c>
      <c r="N383" s="47">
        <f ca="1">IFERROR(__xludf.DUMMYFUNCTION("IMPORTRANGE(""https://docs.google.com/spreadsheets/d/1-uDff_7J0KD5mKrp0Vvzr7lt3OU09vwQwhkpOPPYv2Y/edit?usp=sharing"",""งบพรบ!IM83"")"),0)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IFERROR(__xludf.DUMMYFUNCTION("IMPORTRANGE(""https://docs.google.com/spreadsheets/d/1w5rwWK1o49a35cNtocGL0gxDwhFSTZUQu90BiH9_zqM/edit?usp=sharing"",""RTK!H83"")"),5)</f>
        <v>5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IFERROR(__xludf.DUMMYFUNCTION("IMPORTRANGE(""https://docs.google.com/spreadsheets/d/1w5rwWK1o49a35cNtocGL0gxDwhFSTZUQu90BiH9_zqM/edit?usp=sharing"",""RTK!G83"")"),200)</f>
        <v>200</v>
      </c>
      <c r="J386" s="152">
        <f ca="1">IFERROR(__xludf.DUMMYFUNCTION("IMPORTRANGE(""https://docs.google.com/spreadsheets/d/1w5rwWK1o49a35cNtocGL0gxDwhFSTZUQu90BiH9_zqM/edit?usp=sharing"",""RTK!I83"")"),17)</f>
        <v>17</v>
      </c>
      <c r="K386" s="47">
        <f ca="1">IF(I386&gt;0,J386*100/I386,0)</f>
        <v>8.5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IFERROR(__xludf.DUMMYFUNCTION("IMPORTRANGE(""https://docs.google.com/spreadsheets/d/1w5rwWK1o49a35cNtocGL0gxDwhFSTZUQu90BiH9_zqM/edit?usp=sharing"",""RTK!L83"")"),0)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IFERROR(__xludf.DUMMYFUNCTION("IMPORTRANGE(""https://docs.google.com/spreadsheets/d/1w5rwWK1o49a35cNtocGL0gxDwhFSTZUQu90BiH9_zqM/edit?usp=sharing"",""RTK!K83"")"),0)</f>
        <v>0</v>
      </c>
      <c r="J388" s="330">
        <f ca="1">IFERROR(__xludf.DUMMYFUNCTION("IMPORTRANGE(""https://docs.google.com/spreadsheets/d/1w5rwWK1o49a35cNtocGL0gxDwhFSTZUQu90BiH9_zqM/edit?usp=sharing"",""RTK!M83"")"),0)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IFERROR(__xludf.DUMMYFUNCTION("IMPORTRANGE(""https://docs.google.com/spreadsheets/d/1ItG2mGa2ceCfYo0BwxsXqNm01IGEUdYcSSLTEv9YCik/edit?usp=sharing"",""เบิกจ่ายกองทุน!CL83"")"),0)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IFERROR(__xludf.DUMMYFUNCTION("IMPORTRANGE(""https://docs.google.com/spreadsheets/d/1ItG2mGa2ceCfYo0BwxsXqNm01IGEUdYcSSLTEv9YCik/edit?usp=sharing"",""เบิกจ่ายกองทุน!CM83"")"),0)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IFERROR(__xludf.DUMMYFUNCTION("IMPORTRANGE(""https://docs.google.com/spreadsheets/d/1ItG2mGa2ceCfYo0BwxsXqNm01IGEUdYcSSLTEv9YCik/edit?usp=sharing"",""เบิกจ่ายกองทุน!CN83"")"),0)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9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IFERROR(__xludf.DUMMYFUNCTION("IMPORTRANGE(""https://docs.google.com/spreadsheets/d/1-uDff_7J0KD5mKrp0Vvzr7lt3OU09vwQwhkpOPPYv2Y/edit?usp=sharing"",""งบพรบ!IO83"")"),0)</f>
        <v>0</v>
      </c>
      <c r="M418" s="47">
        <f ca="1">IFERROR(__xludf.DUMMYFUNCTION("IMPORTRANGE(""https://docs.google.com/spreadsheets/d/1-uDff_7J0KD5mKrp0Vvzr7lt3OU09vwQwhkpOPPYv2Y/edit?usp=sharing"",""งบพรบ!IT83"")"),0)</f>
        <v>0</v>
      </c>
      <c r="N418" s="47">
        <f ca="1">IFERROR(__xludf.DUMMYFUNCTION("IMPORTRANGE(""https://docs.google.com/spreadsheets/d/1-uDff_7J0KD5mKrp0Vvzr7lt3OU09vwQwhkpOPPYv2Y/edit?usp=sharing"",""งบพรบ!IV83"")"),0)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IFERROR(__xludf.DUMMYFUNCTION("IMPORTRANGE(""https://docs.google.com/spreadsheets/d/1ItG2mGa2ceCfYo0BwxsXqNm01IGEUdYcSSLTEv9YCik/edit?usp=sharing"",""เบิกจ่ายกองทุน!CB83"")"),0)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IFERROR(__xludf.DUMMYFUNCTION("IMPORTRANGE(""https://docs.google.com/spreadsheets/d/1-uDff_7J0KD5mKrp0Vvzr7lt3OU09vwQwhkpOPPYv2Y/edit?usp=sharing"",""งบพรบ!IR83"")"),0)</f>
        <v>0</v>
      </c>
      <c r="M421" s="47">
        <f ca="1">IFERROR(__xludf.DUMMYFUNCTION("IMPORTRANGE(""https://docs.google.com/spreadsheets/d/1-uDff_7J0KD5mKrp0Vvzr7lt3OU09vwQwhkpOPPYv2Y/edit?usp=sharing"",""งบพรบ!IU83"")"),0)</f>
        <v>0</v>
      </c>
      <c r="N421" s="47">
        <f ca="1">IFERROR(__xludf.DUMMYFUNCTION("IMPORTRANGE(""https://docs.google.com/spreadsheets/d/1-uDff_7J0KD5mKrp0Vvzr7lt3OU09vwQwhkpOPPYv2Y/edit?usp=sharing"",""งบพรบ!IW83"")"),0)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IFERROR(__xludf.DUMMYFUNCTION("IMPORTRANGE(""https://docs.google.com/spreadsheets/d/1eHaY18a8A9IcSdp1K8H6x8fbOy06t2VsZHhMHf-1x7Y/edit?usp=sharing"",""แผน!HJ83"")"),0)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IFERROR(__xludf.DUMMYFUNCTION("IMPORTRANGE(""https://docs.google.com/spreadsheets/d/1eHaY18a8A9IcSdp1K8H6x8fbOy06t2VsZHhMHf-1x7Y/edit?usp=sharing"",""แผน!HK83"")"),0)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IFERROR(__xludf.DUMMYFUNCTION("IMPORTRANGE(""https://docs.google.com/spreadsheets/d/1eHaY18a8A9IcSdp1K8H6x8fbOy06t2VsZHhMHf-1x7Y/edit?usp=sharing"",""แผน!HJ83"")"),0)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IFERROR(__xludf.DUMMYFUNCTION("IMPORTRANGE(""https://docs.google.com/spreadsheets/d/1eHaY18a8A9IcSdp1K8H6x8fbOy06t2VsZHhMHf-1x7Y/edit?usp=sharing"",""แผน!HK83"")"),0)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IFERROR(__xludf.DUMMYFUNCTION("IMPORTRANGE(""https://docs.google.com/spreadsheets/d/1eHaY18a8A9IcSdp1K8H6x8fbOy06t2VsZHhMHf-1x7Y/edit?usp=sharing"",""แผน!HJ83"")"),0)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IFERROR(__xludf.DUMMYFUNCTION("IMPORTRANGE(""https://docs.google.com/spreadsheets/d/1eHaY18a8A9IcSdp1K8H6x8fbOy06t2VsZHhMHf-1x7Y/edit?usp=sharing"",""แผน!HK83"")"),0)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IFERROR(__xludf.DUMMYFUNCTION("IMPORTRANGE(""https://docs.google.com/spreadsheets/d/1eHaY18a8A9IcSdp1K8H6x8fbOy06t2VsZHhMHf-1x7Y/edit?usp=sharing"",""แผน!HL83"")"),0)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IFERROR(__xludf.DUMMYFUNCTION("IMPORTRANGE(""https://docs.google.com/spreadsheets/d/1eHaY18a8A9IcSdp1K8H6x8fbOy06t2VsZHhMHf-1x7Y/edit?usp=sharing"",""แผน!HM83"")"),0)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IFERROR(__xludf.DUMMYFUNCTION("IMPORTRANGE(""https://docs.google.com/spreadsheets/d/1-uDff_7J0KD5mKrp0Vvzr7lt3OU09vwQwhkpOPPYv2Y/edit?usp=sharing"",""งบพรบ!HU83"")"),0)</f>
        <v>0</v>
      </c>
      <c r="M498" s="47">
        <f ca="1">IFERROR(__xludf.DUMMYFUNCTION("IMPORTRANGE(""https://docs.google.com/spreadsheets/d/1-uDff_7J0KD5mKrp0Vvzr7lt3OU09vwQwhkpOPPYv2Y/edit?usp=sharing"",""งบพรบ!HZ83"")"),0)</f>
        <v>0</v>
      </c>
      <c r="N498" s="47">
        <f ca="1">IFERROR(__xludf.DUMMYFUNCTION("IMPORTRANGE(""https://docs.google.com/spreadsheets/d/1-uDff_7J0KD5mKrp0Vvzr7lt3OU09vwQwhkpOPPYv2Y/edit?usp=sharing"",""งบพรบ!IB83"")"),0)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IFERROR(__xludf.DUMMYFUNCTION("IMPORTRANGE(""https://docs.google.com/spreadsheets/d/1ItG2mGa2ceCfYo0BwxsXqNm01IGEUdYcSSLTEv9YCik/edit?usp=sharing"",""เบิกจ่ายกองทุน!AF83"")"),0)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IFERROR(__xludf.DUMMYFUNCTION("IMPORTRANGE(""https://docs.google.com/spreadsheets/d/1-uDff_7J0KD5mKrp0Vvzr7lt3OU09vwQwhkpOPPYv2Y/edit?usp=sharing"",""งบพรบ!HX83"")"),0)</f>
        <v>0</v>
      </c>
      <c r="M501" s="47">
        <f ca="1">IFERROR(__xludf.DUMMYFUNCTION("IMPORTRANGE(""https://docs.google.com/spreadsheets/d/1-uDff_7J0KD5mKrp0Vvzr7lt3OU09vwQwhkpOPPYv2Y/edit?usp=sharing"",""งบพรบ!IA83"")"),0)</f>
        <v>0</v>
      </c>
      <c r="N501" s="47">
        <f ca="1">IFERROR(__xludf.DUMMYFUNCTION("IMPORTRANGE(""https://docs.google.com/spreadsheets/d/1-uDff_7J0KD5mKrp0Vvzr7lt3OU09vwQwhkpOPPYv2Y/edit?usp=sharing"",""งบพรบ!IC83"")"),0)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IFERROR(__xludf.DUMMYFUNCTION("IMPORTRANGE(""https://docs.google.com/spreadsheets/d/1eHaY18a8A9IcSdp1K8H6x8fbOy06t2VsZHhMHf-1x7Y/edit?usp=sharing"",""แผน!GX83"")"),0)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IFERROR(__xludf.DUMMYFUNCTION("IMPORTRANGE(""https://docs.google.com/spreadsheets/d/1eHaY18a8A9IcSdp1K8H6x8fbOy06t2VsZHhMHf-1x7Y/edit?usp=sharing"",""แผน!GY83"")"),0)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IFERROR(__xludf.DUMMYFUNCTION("IMPORTRANGE(""https://docs.google.com/spreadsheets/d/1eHaY18a8A9IcSdp1K8H6x8fbOy06t2VsZHhMHf-1x7Y/edit?usp=sharing"",""แผน!GZ83"")"),0)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IFERROR(__xludf.DUMMYFUNCTION("IMPORTRANGE(""https://docs.google.com/spreadsheets/d/1eHaY18a8A9IcSdp1K8H6x8fbOy06t2VsZHhMHf-1x7Y/edit?usp=sharing"",""แผน!HA83"")"),0)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IFERROR(__xludf.DUMMYFUNCTION("IMPORTRANGE(""https://docs.google.com/spreadsheets/d/1eHaY18a8A9IcSdp1K8H6x8fbOy06t2VsZHhMHf-1x7Y/edit?usp=sharing"",""แผน!HB83"")"),0)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IFERROR(__xludf.DUMMYFUNCTION("IMPORTRANGE(""https://docs.google.com/spreadsheets/d/1eHaY18a8A9IcSdp1K8H6x8fbOy06t2VsZHhMHf-1x7Y/edit?usp=sharing"",""แผน!HC83"")"),0)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IFERROR(__xludf.DUMMYFUNCTION("IMPORTRANGE(""https://docs.google.com/spreadsheets/d/1-uDff_7J0KD5mKrp0Vvzr7lt3OU09vwQwhkpOPPYv2Y/edit?usp=sharing"",""งบพรบ!FW83"")"),0)</f>
        <v>0</v>
      </c>
      <c r="M539" s="47">
        <f ca="1">IFERROR(__xludf.DUMMYFUNCTION("IMPORTRANGE(""https://docs.google.com/spreadsheets/d/1-uDff_7J0KD5mKrp0Vvzr7lt3OU09vwQwhkpOPPYv2Y/edit?usp=sharing"",""งบพรบ!GB83"")"),0)</f>
        <v>0</v>
      </c>
      <c r="N539" s="47">
        <f ca="1">IFERROR(__xludf.DUMMYFUNCTION("IMPORTRANGE(""https://docs.google.com/spreadsheets/d/1-uDff_7J0KD5mKrp0Vvzr7lt3OU09vwQwhkpOPPYv2Y/edit?usp=sharing"",""งบพรบ!GD83"")"),0)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IFERROR(__xludf.DUMMYFUNCTION("IMPORTRANGE(""https://docs.google.com/spreadsheets/d/1-uDff_7J0KD5mKrp0Vvzr7lt3OU09vwQwhkpOPPYv2Y/edit?usp=sharing"",""งบพรบ!FZ83"")"),0)</f>
        <v>0</v>
      </c>
      <c r="M542" s="47">
        <f ca="1">IFERROR(__xludf.DUMMYFUNCTION("IMPORTRANGE(""https://docs.google.com/spreadsheets/d/1-uDff_7J0KD5mKrp0Vvzr7lt3OU09vwQwhkpOPPYv2Y/edit?usp=sharing"",""งบพรบ!GC83"")"),0)</f>
        <v>0</v>
      </c>
      <c r="N542" s="47">
        <f ca="1">IFERROR(__xludf.DUMMYFUNCTION("IMPORTRANGE(""https://docs.google.com/spreadsheets/d/1-uDff_7J0KD5mKrp0Vvzr7lt3OU09vwQwhkpOPPYv2Y/edit?usp=sharing"",""งบพรบ!GE83"")"),0)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IFERROR(__xludf.DUMMYFUNCTION("IMPORTRANGE(""https://docs.google.com/spreadsheets/d/1-uDff_7J0KD5mKrp0Vvzr7lt3OU09vwQwhkpOPPYv2Y/edit?usp=sharing"",""งบพรบ!GG83"")"),0)</f>
        <v>0</v>
      </c>
      <c r="M560" s="47">
        <f ca="1">IFERROR(__xludf.DUMMYFUNCTION("IMPORTRANGE(""https://docs.google.com/spreadsheets/d/1-uDff_7J0KD5mKrp0Vvzr7lt3OU09vwQwhkpOPPYv2Y/edit?usp=sharing"",""งบพรบ!GL83"")"),0)</f>
        <v>0</v>
      </c>
      <c r="N560" s="47">
        <f ca="1">IFERROR(__xludf.DUMMYFUNCTION("IMPORTRANGE(""https://docs.google.com/spreadsheets/d/1-uDff_7J0KD5mKrp0Vvzr7lt3OU09vwQwhkpOPPYv2Y/edit?usp=sharing"",""งบพรบ!GN83"")"),0)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IFERROR(__xludf.DUMMYFUNCTION("IMPORTRANGE(""https://docs.google.com/spreadsheets/d/1-uDff_7J0KD5mKrp0Vvzr7lt3OU09vwQwhkpOPPYv2Y/edit?usp=sharing"",""งบพรบ!GJ83"")"),0)</f>
        <v>0</v>
      </c>
      <c r="M563" s="47">
        <f ca="1">IFERROR(__xludf.DUMMYFUNCTION("IMPORTRANGE(""https://docs.google.com/spreadsheets/d/1-uDff_7J0KD5mKrp0Vvzr7lt3OU09vwQwhkpOPPYv2Y/edit?usp=sharing"",""งบพรบ!GM83"")"),0)</f>
        <v>0</v>
      </c>
      <c r="N563" s="47">
        <f ca="1">IFERROR(__xludf.DUMMYFUNCTION("IMPORTRANGE(""https://docs.google.com/spreadsheets/d/1-uDff_7J0KD5mKrp0Vvzr7lt3OU09vwQwhkpOPPYv2Y/edit?usp=sharing"",""งบพรบ!GO83"")"),0)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IFERROR(__xludf.DUMMYFUNCTION("IMPORTRANGE(""https://docs.google.com/spreadsheets/d/1-uDff_7J0KD5mKrp0Vvzr7lt3OU09vwQwhkpOPPYv2Y/edit?usp=sharing"",""งบพรบ!GQ83"")"),0)</f>
        <v>0</v>
      </c>
      <c r="M581" s="47">
        <f ca="1">IFERROR(__xludf.DUMMYFUNCTION("IMPORTRANGE(""https://docs.google.com/spreadsheets/d/1-uDff_7J0KD5mKrp0Vvzr7lt3OU09vwQwhkpOPPYv2Y/edit?usp=sharing"",""งบพรบ!GV83"")"),0)</f>
        <v>0</v>
      </c>
      <c r="N581" s="47">
        <f ca="1">IFERROR(__xludf.DUMMYFUNCTION("IMPORTRANGE(""https://docs.google.com/spreadsheets/d/1-uDff_7J0KD5mKrp0Vvzr7lt3OU09vwQwhkpOPPYv2Y/edit?usp=sharing"",""งบพรบ!GX83"")"),0)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IFERROR(__xludf.DUMMYFUNCTION("IMPORTRANGE(""https://docs.google.com/spreadsheets/d/1-uDff_7J0KD5mKrp0Vvzr7lt3OU09vwQwhkpOPPYv2Y/edit?usp=sharing"",""งบพรบ!GT83"")"),0)</f>
        <v>0</v>
      </c>
      <c r="M584" s="47">
        <f ca="1">IFERROR(__xludf.DUMMYFUNCTION("IMPORTRANGE(""https://docs.google.com/spreadsheets/d/1-uDff_7J0KD5mKrp0Vvzr7lt3OU09vwQwhkpOPPYv2Y/edit?usp=sharing"",""งบพรบ!GW83"")"),0)</f>
        <v>0</v>
      </c>
      <c r="N584" s="47">
        <f ca="1">IFERROR(__xludf.DUMMYFUNCTION("IMPORTRANGE(""https://docs.google.com/spreadsheets/d/1-uDff_7J0KD5mKrp0Vvzr7lt3OU09vwQwhkpOPPYv2Y/edit?usp=sharing"",""งบพรบ!GY83"")"),0)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14072</v>
      </c>
      <c r="M599" s="421">
        <f ca="1">M600+M601</f>
        <v>14072</v>
      </c>
      <c r="N599" s="421">
        <f ca="1">N600+N601</f>
        <v>4004</v>
      </c>
      <c r="O599" s="421">
        <f ca="1">IF(L599&gt;0,N599*100/L599,0)</f>
        <v>28.453666856168276</v>
      </c>
      <c r="P599" s="421">
        <f ca="1">IF(M599&gt;0,N599*100/M599,0)</f>
        <v>28.453666856168276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14072</v>
      </c>
      <c r="M601" s="331">
        <f ca="1">M604+M607</f>
        <v>14072</v>
      </c>
      <c r="N601" s="331">
        <f ca="1">N604+N607</f>
        <v>4004</v>
      </c>
      <c r="O601" s="331">
        <f ca="1">IF(L601&gt;0,N601*100/L601,0)</f>
        <v>28.453666856168276</v>
      </c>
      <c r="P601" s="331">
        <f ca="1">IF(M601&gt;0,N601*100/M601,0)</f>
        <v>28.453666856168276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14072</v>
      </c>
      <c r="M602" s="331">
        <f ca="1">M603+M604</f>
        <v>14072</v>
      </c>
      <c r="N602" s="331">
        <f ca="1">N603+N604</f>
        <v>4004</v>
      </c>
      <c r="O602" s="331">
        <f ca="1">IF(L602&gt;0,N602*100/L602,0)</f>
        <v>28.453666856168276</v>
      </c>
      <c r="P602" s="331">
        <f ca="1">IF(M602&gt;0,N602*100/M602,0)</f>
        <v>28.453666856168276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IFERROR(__xludf.DUMMYFUNCTION("IMPORTRANGE(""https://docs.google.com/spreadsheets/d/1-uDff_7J0KD5mKrp0Vvzr7lt3OU09vwQwhkpOPPYv2Y/edit?usp=sharing"",""งบพรบ!HK83"")"),14072)</f>
        <v>14072</v>
      </c>
      <c r="M604" s="331">
        <f ca="1">IFERROR(__xludf.DUMMYFUNCTION("IMPORTRANGE(""https://docs.google.com/spreadsheets/d/1-uDff_7J0KD5mKrp0Vvzr7lt3OU09vwQwhkpOPPYv2Y/edit?usp=sharing"",""งบพรบ!HP83"")"),14072)</f>
        <v>14072</v>
      </c>
      <c r="N604" s="331">
        <f ca="1">IFERROR(__xludf.DUMMYFUNCTION("IMPORTRANGE(""https://docs.google.com/spreadsheets/d/1-uDff_7J0KD5mKrp0Vvzr7lt3OU09vwQwhkpOPPYv2Y/edit?usp=sharing"",""งบพรบ!HR83"")"),4004)</f>
        <v>4004</v>
      </c>
      <c r="O604" s="331">
        <f ca="1">IF(L604&gt;0,N604*100/L604,0)</f>
        <v>28.453666856168276</v>
      </c>
      <c r="P604" s="331">
        <f ca="1">IF(M604&gt;0,N604*100/M604,0)</f>
        <v>28.453666856168276</v>
      </c>
      <c r="Q604" s="331">
        <f ca="1">IFERROR(__xludf.DUMMYFUNCTION("IMPORTRANGE(""https://docs.google.com/spreadsheets/d/1ItG2mGa2ceCfYo0BwxsXqNm01IGEUdYcSSLTEv9YCik/edit?usp=sharing"",""เบิกจ่ายกองทุน!AV83"")"),0)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IFERROR(__xludf.DUMMYFUNCTION("IMPORTRANGE(""https://docs.google.com/spreadsheets/d/1ItG2mGa2ceCfYo0BwxsXqNm01IGEUdYcSSLTEv9YCik/edit?usp=sharing"",""เบิกจ่ายกองทุน!AW83"")"),0)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IFERROR(__xludf.DUMMYFUNCTION("IMPORTRANGE(""https://docs.google.com/spreadsheets/d/1ItG2mGa2ceCfYo0BwxsXqNm01IGEUdYcSSLTEv9YCik/edit?usp=sharing"",""เบิกจ่ายกองทุน!AX83"")"),0)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IFERROR(__xludf.DUMMYFUNCTION("IMPORTRANGE(""https://docs.google.com/spreadsheets/d/1-uDff_7J0KD5mKrp0Vvzr7lt3OU09vwQwhkpOPPYv2Y/edit?usp=sharing"",""งบพรบ!HN83"")"),0)</f>
        <v>0</v>
      </c>
      <c r="M607" s="331">
        <f ca="1">IFERROR(__xludf.DUMMYFUNCTION("IMPORTRANGE(""https://docs.google.com/spreadsheets/d/1-uDff_7J0KD5mKrp0Vvzr7lt3OU09vwQwhkpOPPYv2Y/edit?usp=sharing"",""งบพรบ!HQ83"")"),0)</f>
        <v>0</v>
      </c>
      <c r="N607" s="331">
        <f ca="1">IFERROR(__xludf.DUMMYFUNCTION("IMPORTRANGE(""https://docs.google.com/spreadsheets/d/1-uDff_7J0KD5mKrp0Vvzr7lt3OU09vwQwhkpOPPYv2Y/edit?usp=sharing"",""งบพรบ!HS83"")"),0)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IFERROR(__xludf.DUMMYFUNCTION("IMPORTRANGE(""https://docs.google.com/spreadsheets/d/1ItG2mGa2ceCfYo0BwxsXqNm01IGEUdYcSSLTEv9YCik/edit?usp=sharing"",""เบิกจ่ายกองทุน!AY83"")"),0)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IFERROR(__xludf.DUMMYFUNCTION("IMPORTRANGE(""https://docs.google.com/spreadsheets/d/1ItG2mGa2ceCfYo0BwxsXqNm01IGEUdYcSSLTEv9YCik/edit?usp=sharing"",""เบิกจ่ายกองทุน!AZ83"")"),0)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IFERROR(__xludf.DUMMYFUNCTION("IMPORTRANGE(""https://docs.google.com/spreadsheets/d/1ItG2mGa2ceCfYo0BwxsXqNm01IGEUdYcSSLTEv9YCik/edit?usp=sharing"",""เบิกจ่ายกองทุน!BA83"")"),0)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1675</v>
      </c>
      <c r="R616" s="132">
        <f ca="1">R617+R618</f>
        <v>1675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1675</v>
      </c>
      <c r="R618" s="47">
        <f ca="1">R621+R624</f>
        <v>1675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1675</v>
      </c>
      <c r="R619" s="47">
        <f ca="1">R620+R621</f>
        <v>1675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IFERROR(__xludf.DUMMYFUNCTION("IMPORTRANGE(""https://docs.google.com/spreadsheets/d/1eHaY18a8A9IcSdp1K8H6x8fbOy06t2VsZHhMHf-1x7Y/edit?usp=sharing"",""แผน!ID83"")"),0)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IFERROR(__xludf.DUMMYFUNCTION("IMPORTRANGE(""https://docs.google.com/spreadsheets/d/1eHaY18a8A9IcSdp1K8H6x8fbOy06t2VsZHhMHf-1x7Y/edit?usp=sharing"",""แผน!IC83"")"),1)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IFERROR(__xludf.DUMMYFUNCTION("IMPORTRANGE(""https://docs.google.com/spreadsheets/d/1eHaY18a8A9IcSdp1K8H6x8fbOy06t2VsZHhMHf-1x7Y/edit?usp=sharing"",""แผน!IE83"")"),0)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IFERROR(__xludf.DUMMYFUNCTION("IMPORTRANGE(""https://docs.google.com/spreadsheets/d/1eHaY18a8A9IcSdp1K8H6x8fbOy06t2VsZHhMHf-1x7Y/edit?usp=sharing"",""แผน!IF83"")"),0)</f>
        <v>0</v>
      </c>
      <c r="J652" s="15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IFERROR(__xludf.DUMMYFUNCTION("IMPORTRANGE(""https://docs.google.com/spreadsheets/d/1eHaY18a8A9IcSdp1K8H6x8fbOy06t2VsZHhMHf-1x7Y/edit?usp=sharing"",""แผน!IG83"")"),0)</f>
        <v>0</v>
      </c>
      <c r="J653" s="15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IFERROR(__xludf.DUMMYFUNCTION("IMPORTRANGE(""https://docs.google.com/spreadsheets/d/1eHaY18a8A9IcSdp1K8H6x8fbOy06t2VsZHhMHf-1x7Y/edit?usp=sharing"",""แผน!IH83"")"),0)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IFERROR(__xludf.DUMMYFUNCTION("IMPORTRANGE(""https://docs.google.com/spreadsheets/d/1eHaY18a8A9IcSdp1K8H6x8fbOy06t2VsZHhMHf-1x7Y/edit?usp=sharing"",""แผน!II83"")"),0)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IFERROR(__xludf.DUMMYFUNCTION("IMPORTRANGE(""https://docs.google.com/spreadsheets/d/1eHaY18a8A9IcSdp1K8H6x8fbOy06t2VsZHhMHf-1x7Y/edit?usp=sharing"",""แผน!IJ83"")"),0)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IFERROR(__xludf.DUMMYFUNCTION("IMPORTRANGE(""https://docs.google.com/spreadsheets/d/1eHaY18a8A9IcSdp1K8H6x8fbOy06t2VsZHhMHf-1x7Y/edit?usp=sharing"",""แผน!IK83"")"),0)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IFERROR(__xludf.DUMMYFUNCTION("IMPORTRANGE(""https://docs.google.com/spreadsheets/d/1eHaY18a8A9IcSdp1K8H6x8fbOy06t2VsZHhMHf-1x7Y/edit?usp=sharing"",""แผน!IL83"")"),0)</f>
        <v>0</v>
      </c>
      <c r="J673" s="15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IFERROR(__xludf.DUMMYFUNCTION("IMPORTRANGE(""https://docs.google.com/spreadsheets/d/1eHaY18a8A9IcSdp1K8H6x8fbOy06t2VsZHhMHf-1x7Y/edit?usp=sharing"",""แผน!IM83"")"),0)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IFERROR(__xludf.DUMMYFUNCTION("IMPORTRANGE(""https://docs.google.com/spreadsheets/d/1eHaY18a8A9IcSdp1K8H6x8fbOy06t2VsZHhMHf-1x7Y/edit?usp=sharing"",""แผน!IN83"")"),0)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IFERROR(__xludf.DUMMYFUNCTION("IMPORTRANGE(""https://docs.google.com/spreadsheets/d/1eHaY18a8A9IcSdp1K8H6x8fbOy06t2VsZHhMHf-1x7Y/edit?usp=sharing"",""แผน!IO83"")"),0)</f>
        <v>0</v>
      </c>
      <c r="J676" s="15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IFERROR(__xludf.DUMMYFUNCTION("IMPORTRANGE(""https://docs.google.com/spreadsheets/d/1eHaY18a8A9IcSdp1K8H6x8fbOy06t2VsZHhMHf-1x7Y/edit?usp=sharing"",""แผน!IP83"")"),0)</f>
        <v>0</v>
      </c>
      <c r="J678" s="15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IFERROR(__xludf.DUMMYFUNCTION("IMPORTRANGE(""https://docs.google.com/spreadsheets/d/1eHaY18a8A9IcSdp1K8H6x8fbOy06t2VsZHhMHf-1x7Y/edit?usp=sharing"",""แผน!IQ83"")"),0)</f>
        <v>0</v>
      </c>
      <c r="J679" s="15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IFERROR(__xludf.DUMMYFUNCTION("IMPORTRANGE(""https://docs.google.com/spreadsheets/d/1eHaY18a8A9IcSdp1K8H6x8fbOy06t2VsZHhMHf-1x7Y/edit?usp=sharing"",""แผน!IR83"")"),0)</f>
        <v>0</v>
      </c>
      <c r="J681" s="15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IFERROR(__xludf.DUMMYFUNCTION("IMPORTRANGE(""https://docs.google.com/spreadsheets/d/1eHaY18a8A9IcSdp1K8H6x8fbOy06t2VsZHhMHf-1x7Y/edit?usp=sharing"",""แผน!IS83"")"),0)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30000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30000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30000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IFERROR(__xludf.DUMMYFUNCTION("IMPORTRANGE(""https://docs.google.com/spreadsheets/d/1ItG2mGa2ceCfYo0BwxsXqNm01IGEUdYcSSLTEv9YCik/edit?usp=sharing"",""เบิกจ่ายกองทุน!M83"")"),30000)</f>
        <v>30000</v>
      </c>
      <c r="S695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IFERROR(__xludf.DUMMYFUNCTION("IMPORTRANGE(""https://docs.google.com/spreadsheets/d/1eHaY18a8A9IcSdp1K8H6x8fbOy06t2VsZHhMHf-1x7Y/edit?usp=sharing"",""แผน!LC83"")"),0)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IFERROR(__xludf.DUMMYFUNCTION("IMPORTRANGE(""https://docs.google.com/spreadsheets/d/1eHaY18a8A9IcSdp1K8H6x8fbOy06t2VsZHhMHf-1x7Y/edit?usp=sharing"",""แผน!LJ83"")"),0)</f>
        <v>0</v>
      </c>
      <c r="J703" s="15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IFERROR(__xludf.DUMMYFUNCTION("IMPORTRANGE(""https://docs.google.com/spreadsheets/d/1eHaY18a8A9IcSdp1K8H6x8fbOy06t2VsZHhMHf-1x7Y/edit?usp=sharing"",""แผน!LK83"")"),0)</f>
        <v>0</v>
      </c>
      <c r="J705" s="152">
        <f ca="1">IFERROR(__xludf.DUMMYFUNCTION("IMPORTRANGE(""https://docs.google.com/spreadsheets/d/1tdoBKaGub7dwA3U6UFTqxio9LNnvDCQjHKmttSEBsFQ/edit?usp=sharing"",""จัดที่ดิน!AR83"")"),0)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IFERROR(__xludf.DUMMYFUNCTION("IMPORTRANGE(""https://docs.google.com/spreadsheets/d/1eHaY18a8A9IcSdp1K8H6x8fbOy06t2VsZHhMHf-1x7Y/edit?usp=sharing"",""แผน!LJ83"")"),0)</f>
        <v>0</v>
      </c>
      <c r="J707" s="15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IFERROR(__xludf.DUMMYFUNCTION("IMPORTRANGE(""https://docs.google.com/spreadsheets/d/1eHaY18a8A9IcSdp1K8H6x8fbOy06t2VsZHhMHf-1x7Y/edit?usp=sharing"",""แผน!LK83"")"),0)</f>
        <v>0</v>
      </c>
      <c r="J709" s="15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IFERROR(__xludf.DUMMYFUNCTION("IMPORTRANGE(""https://docs.google.com/spreadsheets/d/1eHaY18a8A9IcSdp1K8H6x8fbOy06t2VsZHhMHf-1x7Y/edit?usp=sharing"",""แผน!GA83"")"),11)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IFERROR(__xludf.DUMMYFUNCTION("IMPORTRANGE(""https://docs.google.com/spreadsheets/d/1eHaY18a8A9IcSdp1K8H6x8fbOy06t2VsZHhMHf-1x7Y/edit?usp=sharing"",""แผน!FZ83"")"),100)</f>
        <v>100</v>
      </c>
      <c r="J727" s="483">
        <f>J752+J755</f>
        <v>100</v>
      </c>
      <c r="K727" s="484">
        <f ca="1">IF(I727&gt;0,J727*100/I727,0)</f>
        <v>100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82722</v>
      </c>
      <c r="T728" s="132">
        <f ca="1">IF(Q728&gt;0,S728*100/Q728,0)</f>
        <v>73.936826299136584</v>
      </c>
      <c r="U728" s="132">
        <f ca="1">IF(R728&gt;0,S728*100/R728,0)</f>
        <v>73.936826299136584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82722</v>
      </c>
      <c r="T730" s="47">
        <f ca="1">IF(Q730&gt;0,S730*100/Q730,0)</f>
        <v>73.936826299136584</v>
      </c>
      <c r="U730" s="47">
        <f ca="1">IF(R730&gt;0,S730*100/R730,0)</f>
        <v>73.936826299136584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82722</v>
      </c>
      <c r="T731" s="47">
        <f ca="1">IF(Q731&gt;0,S731*100/Q731,0)</f>
        <v>73.936826299136584</v>
      </c>
      <c r="U731" s="47">
        <f ca="1">IF(R731&gt;0,S731*100/R731,0)</f>
        <v>73.936826299136584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IFERROR(__xludf.DUMMYFUNCTION("IMPORTRANGE(""https://docs.google.com/spreadsheets/d/1ItG2mGa2ceCfYo0BwxsXqNm01IGEUdYcSSLTEv9YCik/edit?usp=sharing"",""เบิกจ่ายกองทุน!Q83"")"),82722)</f>
        <v>82722</v>
      </c>
      <c r="T733" s="47">
        <f ca="1">IF(Q733&gt;0,S733*100/Q733,0)</f>
        <v>73.936826299136584</v>
      </c>
      <c r="U733" s="47">
        <f ca="1">IF(R733&gt;0,S733*100/R733,0)</f>
        <v>73.936826299136584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IFERROR(__xludf.DUMMYFUNCTION("IMPORTRANGE(""https://docs.google.com/spreadsheets/d/1eHaY18a8A9IcSdp1K8H6x8fbOy06t2VsZHhMHf-1x7Y/edit?usp=sharing"",""แผน!GB83"")"),80)</f>
        <v>80</v>
      </c>
      <c r="J740" s="554">
        <v>80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IFERROR(__xludf.DUMMYFUNCTION("IMPORTRANGE(""https://docs.google.com/spreadsheets/d/1eHaY18a8A9IcSdp1K8H6x8fbOy06t2VsZHhMHf-1x7Y/edit?usp=sharing"",""แผน!GC83"")"),8)</f>
        <v>8</v>
      </c>
      <c r="J742" s="554">
        <v>8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IFERROR(__xludf.DUMMYFUNCTION("IMPORTRANGE(""https://docs.google.com/spreadsheets/d/1eHaY18a8A9IcSdp1K8H6x8fbOy06t2VsZHhMHf-1x7Y/edit?usp=sharing"",""แผน!GD83"")"),20)</f>
        <v>20</v>
      </c>
      <c r="J744" s="554">
        <v>20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IFERROR(__xludf.DUMMYFUNCTION("IMPORTRANGE(""https://docs.google.com/spreadsheets/d/1eHaY18a8A9IcSdp1K8H6x8fbOy06t2VsZHhMHf-1x7Y/edit?usp=sharing"",""แผน!GE83"")"),2)</f>
        <v>2</v>
      </c>
      <c r="J746" s="554">
        <v>2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IFERROR(__xludf.DUMMYFUNCTION("IMPORTRANGE(""https://docs.google.com/spreadsheets/d/1eHaY18a8A9IcSdp1K8H6x8fbOy06t2VsZHhMHf-1x7Y/edit?usp=sharing"",""แผน!GF83"")"),1)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IFERROR(__xludf.DUMMYFUNCTION("IMPORTRANGE(""https://docs.google.com/spreadsheets/d/1eHaY18a8A9IcSdp1K8H6x8fbOy06t2VsZHhMHf-1x7Y/edit?usp=sharing"",""แผน!GB83"")"),80)</f>
        <v>80</v>
      </c>
      <c r="J752" s="554">
        <v>80</v>
      </c>
      <c r="K752" s="331">
        <f ca="1">IF(I752&gt;0,J752*100/I752,0)</f>
        <v>100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8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IFERROR(__xludf.DUMMYFUNCTION("IMPORTRANGE(""https://docs.google.com/spreadsheets/d/1eHaY18a8A9IcSdp1K8H6x8fbOy06t2VsZHhMHf-1x7Y/edit?usp=sharing"",""แผน!GD83"")"),20)</f>
        <v>20</v>
      </c>
      <c r="J755" s="554">
        <v>20</v>
      </c>
      <c r="K755" s="331">
        <f ca="1">IF(I755&gt;0,J755*100/I755,0)</f>
        <v>100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2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1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25</v>
      </c>
      <c r="J758" s="483">
        <f>J772</f>
        <v>25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50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169530</v>
      </c>
      <c r="R760" s="132">
        <f ca="1">R761+R762</f>
        <v>169530</v>
      </c>
      <c r="S760" s="132">
        <f ca="1">S761+S762</f>
        <v>76990</v>
      </c>
      <c r="T760" s="132">
        <f ca="1">IF(Q760&gt;0,S760*100/Q760,0)</f>
        <v>45.413791069427241</v>
      </c>
      <c r="U760" s="132">
        <f ca="1">IF(R760&gt;0,S760*100/R760,0)</f>
        <v>45.413791069427241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169530</v>
      </c>
      <c r="R762" s="47">
        <f ca="1">R765+R768</f>
        <v>169530</v>
      </c>
      <c r="S762" s="47">
        <f ca="1">S765+S768</f>
        <v>76990</v>
      </c>
      <c r="T762" s="47">
        <f ca="1">IF(Q762&gt;0,S762*100/Q762,0)</f>
        <v>45.413791069427241</v>
      </c>
      <c r="U762" s="47">
        <f ca="1">IF(R762&gt;0,S762*100/R762,0)</f>
        <v>45.413791069427241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169530</v>
      </c>
      <c r="R763" s="47">
        <f ca="1">R764+R765</f>
        <v>169530</v>
      </c>
      <c r="S763" s="47">
        <f ca="1">S764+S765</f>
        <v>76990</v>
      </c>
      <c r="T763" s="47">
        <f ca="1">IF(Q763&gt;0,S763*100/Q763,0)</f>
        <v>45.413791069427241</v>
      </c>
      <c r="U763" s="47">
        <f ca="1">IF(R763&gt;0,S763*100/R763,0)</f>
        <v>45.413791069427241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IFERROR(__xludf.DUMMYFUNCTION("IMPORTRANGE(""https://docs.google.com/spreadsheets/d/1ItG2mGa2ceCfYo0BwxsXqNm01IGEUdYcSSLTEv9YCik/edit?usp=sharing"",""เบิกจ่ายกองทุน!AB83"")"),169530)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IFERROR(__xludf.DUMMYFUNCTION("IMPORTRANGE(""https://docs.google.com/spreadsheets/d/1ItG2mGa2ceCfYo0BwxsXqNm01IGEUdYcSSLTEv9YCik/edit?usp=sharing"",""เบิกจ่ายกองทุน!AC83"")"),76990)</f>
        <v>76990</v>
      </c>
      <c r="T765" s="47">
        <f ca="1">IF(Q765&gt;0,S765*100/Q765,0)</f>
        <v>45.413791069427241</v>
      </c>
      <c r="U765" s="47">
        <f ca="1">IF(R765&gt;0,S765*100/R765,0)</f>
        <v>45.413791069427241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IFERROR(__xludf.DUMMYFUNCTION("IMPORTRANGE(""https://docs.google.com/spreadsheets/d/1eHaY18a8A9IcSdp1K8H6x8fbOy06t2VsZHhMHf-1x7Y/edit?usp=sharing"",""แผน!FI83"")"),1)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25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50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IFERROR(__xludf.DUMMYFUNCTION("IMPORTRANGE(""https://docs.google.com/spreadsheets/d/1eHaY18a8A9IcSdp1K8H6x8fbOy06t2VsZHhMHf-1x7Y/edit?usp=sharing"",""แผน!FT83"")"),25)</f>
        <v>25</v>
      </c>
      <c r="J776" s="355">
        <v>10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152">
        <f ca="1">IFERROR(__xludf.DUMMYFUNCTION("IMPORTRANGE(""https://docs.google.com/spreadsheets/d/10OvvATaaLtwErnr3qtWFcTmtbfpFEt5Bsqel9sXx0uE/edit?usp=sharing"",""งานกองทุน!F83"")"),170426.8)</f>
        <v>170426.8</v>
      </c>
      <c r="K778" s="47">
        <f ca="1">IF(I778&gt;0,J778*100/I778,0)</f>
        <v>38.088106105716491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IFERROR(__xludf.DUMMYFUNCTION("IMPORTRANGE(""https://docs.google.com/spreadsheets/d/10OvvATaaLtwErnr3qtWFcTmtbfpFEt5Bsqel9sXx0uE/edit?usp=sharing"",""งานกองทุน!C83"")"),27)</f>
        <v>27</v>
      </c>
      <c r="J779" s="152">
        <f ca="1">IFERROR(__xludf.DUMMYFUNCTION("IMPORTRANGE(""https://docs.google.com/spreadsheets/d/10OvvATaaLtwErnr3qtWFcTmtbfpFEt5Bsqel9sXx0uE/edit?usp=sharing"",""งานกองทุน!E83"")"),9)</f>
        <v>9</v>
      </c>
      <c r="K779" s="47">
        <f ca="1">IF(I779&gt;0,J779*100/I779,0)</f>
        <v>33.333333333333336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152">
        <f ca="1">IFERROR(__xludf.DUMMYFUNCTION("IMPORTRANGE(""https://docs.google.com/spreadsheets/d/10OvvATaaLtwErnr3qtWFcTmtbfpFEt5Bsqel9sXx0uE/edit?usp=sharing"",""งานกองทุน!K83"")"),78588.27)</f>
        <v>78588.27</v>
      </c>
      <c r="K780" s="47">
        <f ca="1">IF(I780&gt;0,J780*100/I780,0)</f>
        <v>49.56646521135211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IFERROR(__xludf.DUMMYFUNCTION("IMPORTRANGE(""https://docs.google.com/spreadsheets/d/10OvvATaaLtwErnr3qtWFcTmtbfpFEt5Bsqel9sXx0uE/edit?usp=sharing"",""งานกองทุน!H83"")"),7)</f>
        <v>7</v>
      </c>
      <c r="J781" s="152">
        <f ca="1">IFERROR(__xludf.DUMMYFUNCTION("IMPORTRANGE(""https://docs.google.com/spreadsheets/d/10OvvATaaLtwErnr3qtWFcTmtbfpFEt5Bsqel9sXx0uE/edit?usp=sharing"",""งานกองทุน!J83"")"),6)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IFERROR(__xludf.DUMMYFUNCTION("IMPORTRANGE(""https://docs.google.com/spreadsheets/d/10OvvATaaLtwErnr3qtWFcTmtbfpFEt5Bsqel9sXx0uE/edit?usp=sharing"",""งานกองทุน!N83"")"),0)</f>
        <v>0</v>
      </c>
      <c r="J782" s="15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IFERROR(__xludf.DUMMYFUNCTION("IMPORTRANGE(""https://docs.google.com/spreadsheets/d/10OvvATaaLtwErnr3qtWFcTmtbfpFEt5Bsqel9sXx0uE/edit?usp=sharing"",""งานกองทุน!M83"")"),0)</f>
        <v>0</v>
      </c>
      <c r="J783" s="15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IFERROR(__xludf.DUMMYFUNCTION("IMPORTRANGE(""https://docs.google.com/spreadsheets/d/10OvvATaaLtwErnr3qtWFcTmtbfpFEt5Bsqel9sXx0uE/edit?usp=sharing"",""งานกองทุน!S83"")"),252000)</f>
        <v>252000</v>
      </c>
      <c r="J784" s="152">
        <f ca="1">IFERROR(__xludf.DUMMYFUNCTION("IMPORTRANGE(""https://docs.google.com/spreadsheets/d/10OvvATaaLtwErnr3qtWFcTmtbfpFEt5Bsqel9sXx0uE/edit?usp=sharing"",""งานกองทุน!U83"")"),0)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IFERROR(__xludf.DUMMYFUNCTION("IMPORTRANGE(""https://docs.google.com/spreadsheets/d/10OvvATaaLtwErnr3qtWFcTmtbfpFEt5Bsqel9sXx0uE/edit?usp=sharing"",""งานกองทุน!R83"")"),9)</f>
        <v>9</v>
      </c>
      <c r="J785" s="197">
        <f ca="1">IFERROR(__xludf.DUMMYFUNCTION("IMPORTRANGE(""https://docs.google.com/spreadsheets/d/10OvvATaaLtwErnr3qtWFcTmtbfpFEt5Bsqel9sXx0uE/edit?usp=sharing"",""งานกองทุน!T83"")"),0)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EB3C8-B89F-4613-9606-A2BB18F4D814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326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1843930</v>
      </c>
      <c r="M18" s="35">
        <f ca="1">M19+M20</f>
        <v>1956360</v>
      </c>
      <c r="N18" s="35">
        <f ca="1">N19+N20</f>
        <v>1434931.38</v>
      </c>
      <c r="O18" s="35">
        <f ca="1">IF(L18&gt;0,N18*100/L18,0)</f>
        <v>77.81918944862332</v>
      </c>
      <c r="P18" s="35">
        <f ca="1">IF(M18&gt;0,N18*100/M18,0)</f>
        <v>73.347000552045643</v>
      </c>
      <c r="Q18" s="897">
        <f ca="1">Q19+Q20</f>
        <v>726208.99</v>
      </c>
      <c r="R18" s="896">
        <f ca="1">R19+R20</f>
        <v>726209</v>
      </c>
      <c r="S18" s="896">
        <f ca="1">S19+S20</f>
        <v>336596.91000000003</v>
      </c>
      <c r="T18" s="896">
        <f ca="1">IF(Q18&gt;0,S18*100/Q18,0)</f>
        <v>46.349868238342793</v>
      </c>
      <c r="U18" s="896">
        <f ca="1">IF(R18&gt;0,S18*100/R18,0)</f>
        <v>46.349867600098591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807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1843930</v>
      </c>
      <c r="M20" s="39">
        <f ca="1">M23+M26</f>
        <v>1956360</v>
      </c>
      <c r="N20" s="39">
        <f ca="1">N23+N26</f>
        <v>1434931.38</v>
      </c>
      <c r="O20" s="39">
        <f ca="1">IF(L20&gt;0,N20*100/L20,0)</f>
        <v>77.81918944862332</v>
      </c>
      <c r="P20" s="39">
        <f ca="1">IF(M20&gt;0,N20*100/M20,0)</f>
        <v>73.347000552045643</v>
      </c>
      <c r="Q20" s="806">
        <f ca="1">Q23+Q26</f>
        <v>726208.99</v>
      </c>
      <c r="R20" s="39">
        <f ca="1">R23+R26</f>
        <v>726209</v>
      </c>
      <c r="S20" s="39">
        <f ca="1">S23+S26</f>
        <v>336596.91000000003</v>
      </c>
      <c r="T20" s="39">
        <f ca="1">IF(Q20&gt;0,S20*100/Q20,0)</f>
        <v>46.349868238342793</v>
      </c>
      <c r="U20" s="39">
        <f ca="1">IF(R20&gt;0,S20*100/R20,0)</f>
        <v>46.349867600098591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1843930</v>
      </c>
      <c r="M21" s="47">
        <f ca="1">M22+M23</f>
        <v>1956360</v>
      </c>
      <c r="N21" s="47">
        <f ca="1">N22+N23</f>
        <v>1434931.38</v>
      </c>
      <c r="O21" s="47">
        <f ca="1">IF(L21&gt;0,N21*100/L21,0)</f>
        <v>77.81918944862332</v>
      </c>
      <c r="P21" s="47">
        <f ca="1">IF(M21&gt;0,N21*100/M21,0)</f>
        <v>73.347000552045643</v>
      </c>
      <c r="Q21" s="548">
        <f ca="1">Q22+Q23</f>
        <v>726208.99</v>
      </c>
      <c r="R21" s="47">
        <f ca="1">R22+R23</f>
        <v>726209</v>
      </c>
      <c r="S21" s="47">
        <f ca="1">S22+S23</f>
        <v>336596.91000000003</v>
      </c>
      <c r="T21" s="47">
        <f ca="1">IF(Q21&gt;0,S21*100/Q21,0)</f>
        <v>46.349868238342793</v>
      </c>
      <c r="U21" s="47">
        <f ca="1">IF(R21&gt;0,S21*100/R21,0)</f>
        <v>46.349867600098591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5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1843930</v>
      </c>
      <c r="M23" s="47">
        <f ca="1">M49+M64+M77+M99+M122+M144+M162+M191+M178+M271+M287+M308+M325+M338+M361+M380+M418+M498+M518+M539+M560+M581+M604+M621+M647+M695+M719+M733+M765</f>
        <v>1956360</v>
      </c>
      <c r="N23" s="47">
        <f ca="1">N49+N64+N77+N99+N122+N144+N162+N191+N178+N271+N287+N308+N325+N338+N361+N380+N418+N498+N518+N539+N560+N581+N604+N621+N647+N695+N719+N733+N765</f>
        <v>1434931.38</v>
      </c>
      <c r="O23" s="47">
        <f ca="1">IF(L23&gt;0,N23*100/L23,0)</f>
        <v>77.81918944862332</v>
      </c>
      <c r="P23" s="47">
        <f ca="1">IF(M23&gt;0,N23*100/M23,0)</f>
        <v>73.347000552045643</v>
      </c>
      <c r="Q23" s="548">
        <f ca="1">Q77+Q99+Q122+Q144+Q162+Q178+Q191+Q271+Q287+Q308+Q338+Q380+Q397+Q418+Q498+Q604+Q621+Q647+Q695+Q719+Q733+Q765</f>
        <v>726208.99</v>
      </c>
      <c r="R23" s="47">
        <f ca="1">R77+R99+R122+R144+R162+R178+R191+R271+R287+R308+R338+R380+R397+R418+R498+R604+R621+R647+R695+R719+R733+R765</f>
        <v>726209</v>
      </c>
      <c r="S23" s="47">
        <f ca="1">S77+S99+S122+S144+S162+S178+S191+S271+S287+S308+S338+S380+S397+S418+S498+S604+S621+S647+S695+S719+S733+S765</f>
        <v>336596.91000000003</v>
      </c>
      <c r="T23" s="47">
        <f ca="1">IF(Q23&gt;0,S23*100/Q23,0)</f>
        <v>46.349868238342793</v>
      </c>
      <c r="U23" s="47">
        <f ca="1">IF(R23&gt;0,S23*100/R23,0)</f>
        <v>46.349867600098591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548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5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5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5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5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545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710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700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700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700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700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700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700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700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700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710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1823220</v>
      </c>
      <c r="M40" s="803">
        <f ca="1">M44+M59+M72+M94+M125+M139+M157+M173+M186+M266+M282+M303+M320+M333+M356</f>
        <v>1935650</v>
      </c>
      <c r="N40" s="803">
        <f ca="1">N44+N59+N72+N94+N125+N139+N157+N173+N186+N266+N282+N303+N320+N333+N356</f>
        <v>1434931.38</v>
      </c>
      <c r="O40" s="803">
        <f ca="1">IF(L40&gt;0,N40*100/L40,0)</f>
        <v>78.703139500444266</v>
      </c>
      <c r="P40" s="803">
        <f ca="1">IF(M40&gt;0,N40*100/M40,0)</f>
        <v>74.131758324077182</v>
      </c>
      <c r="Q40" s="895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89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801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700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221000</v>
      </c>
      <c r="M44" s="79">
        <f ca="1">M45+M46</f>
        <v>247480</v>
      </c>
      <c r="N44" s="79">
        <f ca="1">N45+N46</f>
        <v>202027</v>
      </c>
      <c r="O44" s="79">
        <f ca="1">IF(L44&gt;0,N44*100/L44,0)</f>
        <v>91.414932126696826</v>
      </c>
      <c r="P44" s="79">
        <f ca="1">IF(M44&gt;0,N44*100/M44,0)</f>
        <v>81.633667367059971</v>
      </c>
      <c r="Q44" s="798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795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221000</v>
      </c>
      <c r="M46" s="83">
        <f ca="1">M49+M52</f>
        <v>247480</v>
      </c>
      <c r="N46" s="83">
        <f ca="1">N49+N52</f>
        <v>202027</v>
      </c>
      <c r="O46" s="83">
        <f ca="1">IF(L46&gt;0,N46*100/L46,0)</f>
        <v>91.414932126696826</v>
      </c>
      <c r="P46" s="83">
        <f ca="1">IF(M46&gt;0,N46*100/M46,0)</f>
        <v>81.633667367059971</v>
      </c>
      <c r="Q46" s="794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221000</v>
      </c>
      <c r="M47" s="47">
        <f ca="1">M48+M49</f>
        <v>247480</v>
      </c>
      <c r="N47" s="47">
        <f ca="1">N48+N49</f>
        <v>202027</v>
      </c>
      <c r="O47" s="47">
        <f ca="1">IF(L47&gt;0,N47*100/L47,0)</f>
        <v>91.414932126696826</v>
      </c>
      <c r="P47" s="47">
        <f ca="1">IF(M47&gt;0,N47*100/M47,0)</f>
        <v>81.633667367059971</v>
      </c>
      <c r="Q47" s="548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5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IFERROR(__xludf.DUMMYFUNCTION("IMPORTRANGE(""https://docs.google.com/spreadsheets/d/1-uDff_7J0KD5mKrp0Vvzr7lt3OU09vwQwhkpOPPYv2Y/edit?usp=sharing"",""งบพรบ!P84"")"),221000)</f>
        <v>221000</v>
      </c>
      <c r="M49" s="47">
        <f ca="1">IFERROR(__xludf.DUMMYFUNCTION("IMPORTRANGE(""https://docs.google.com/spreadsheets/d/1-uDff_7J0KD5mKrp0Vvzr7lt3OU09vwQwhkpOPPYv2Y/edit?usp=sharing"",""งบพรบ!V84"")"),247480)</f>
        <v>247480</v>
      </c>
      <c r="N49" s="47">
        <f ca="1">IFERROR(__xludf.DUMMYFUNCTION("IMPORTRANGE(""https://docs.google.com/spreadsheets/d/1-uDff_7J0KD5mKrp0Vvzr7lt3OU09vwQwhkpOPPYv2Y/edit?usp=sharing"",""งบพรบ!Y84"")"),202027)</f>
        <v>202027</v>
      </c>
      <c r="O49" s="47">
        <f ca="1">IF(L49&gt;0,N49*100/L49,0)</f>
        <v>91.414932126696826</v>
      </c>
      <c r="P49" s="47">
        <f ca="1">IF(M49&gt;0,N49*100/M49,0)</f>
        <v>81.633667367059971</v>
      </c>
      <c r="Q49" s="548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548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5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ca="1">IF(L52&gt;0,N52*100/L52,0)</f>
        <v>0</v>
      </c>
      <c r="P52" s="47">
        <f ca="1">IF(M52&gt;0,N52*100/M52,0)</f>
        <v>0</v>
      </c>
      <c r="Q52" s="548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5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5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545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93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793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792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578900</v>
      </c>
      <c r="M59" s="106">
        <f ca="1">M60+M61</f>
        <v>578900</v>
      </c>
      <c r="N59" s="106">
        <f ca="1">N60+N61</f>
        <v>484864.03</v>
      </c>
      <c r="O59" s="106">
        <f ca="1">IF(L59&gt;0,N59*100/L59,0)</f>
        <v>83.756094316807733</v>
      </c>
      <c r="P59" s="106">
        <f ca="1">IF(M59&gt;0,N59*100/M59,0)</f>
        <v>83.756094316807733</v>
      </c>
      <c r="Q59" s="789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786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578900</v>
      </c>
      <c r="M61" s="109">
        <f ca="1">M64+M67</f>
        <v>578900</v>
      </c>
      <c r="N61" s="109">
        <f ca="1">N64+N67</f>
        <v>484864.03</v>
      </c>
      <c r="O61" s="109">
        <f ca="1">IF(L61&gt;0,N61*100/L61,0)</f>
        <v>83.756094316807733</v>
      </c>
      <c r="P61" s="109">
        <f ca="1">IF(M61&gt;0,N61*100/M61,0)</f>
        <v>83.756094316807733</v>
      </c>
      <c r="Q61" s="785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578900</v>
      </c>
      <c r="M62" s="47">
        <f ca="1">M63+M64</f>
        <v>578900</v>
      </c>
      <c r="N62" s="47">
        <f ca="1">N63+N64</f>
        <v>484864.03</v>
      </c>
      <c r="O62" s="47">
        <f ca="1">IF(L62&gt;0,N62*100/L62,0)</f>
        <v>83.756094316807733</v>
      </c>
      <c r="P62" s="47">
        <f ca="1">IF(M62&gt;0,N62*100/M62,0)</f>
        <v>83.756094316807733</v>
      </c>
      <c r="Q62" s="548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5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IFERROR(__xludf.DUMMYFUNCTION("IMPORTRANGE(""https://docs.google.com/spreadsheets/d/1-uDff_7J0KD5mKrp0Vvzr7lt3OU09vwQwhkpOPPYv2Y/edit?usp=sharing"",""งบพรบ!AC84"")"),578900)</f>
        <v>578900</v>
      </c>
      <c r="M64" s="47">
        <f ca="1">IFERROR(__xludf.DUMMYFUNCTION("IMPORTRANGE(""https://docs.google.com/spreadsheets/d/1-uDff_7J0KD5mKrp0Vvzr7lt3OU09vwQwhkpOPPYv2Y/edit?usp=sharing"",""งบพรบ!AH84"")"),578900)</f>
        <v>578900</v>
      </c>
      <c r="N64" s="47">
        <f ca="1">IFERROR(__xludf.DUMMYFUNCTION("IMPORTRANGE(""https://docs.google.com/spreadsheets/d/1-uDff_7J0KD5mKrp0Vvzr7lt3OU09vwQwhkpOPPYv2Y/edit?usp=sharing"",""งบพรบ!AJ84"")"),484864.03)</f>
        <v>484864.03</v>
      </c>
      <c r="O64" s="47">
        <f ca="1">IF(L64&gt;0,N64*100/L64,0)</f>
        <v>83.756094316807733</v>
      </c>
      <c r="P64" s="47">
        <f ca="1">IF(M64&gt;0,N64*100/M64,0)</f>
        <v>83.756094316807733</v>
      </c>
      <c r="Q64" s="548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548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5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ca="1">IF(L67&gt;0,N67*100/L67,0)</f>
        <v>0</v>
      </c>
      <c r="P67" s="111">
        <f ca="1">IF(M67&gt;0,N67*100/M67,0)</f>
        <v>0</v>
      </c>
      <c r="Q67" s="783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892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782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583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583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550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5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548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548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5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ca="1">IF(L77&gt;0,N77*100/L77,0)</f>
        <v>0</v>
      </c>
      <c r="P77" s="47">
        <f ca="1">IF(M77&gt;0,N77*100/M77,0)</f>
        <v>0</v>
      </c>
      <c r="Q77" s="548">
        <f ca="1">IFERROR(__xludf.DUMMYFUNCTION("IMPORTRANGE(""https://docs.google.com/spreadsheets/d/1ItG2mGa2ceCfYo0BwxsXqNm01IGEUdYcSSLTEv9YCik/edit?usp=sharing"",""เบิกจ่ายกองทุน!BH84"")"),0)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IFERROR(__xludf.DUMMYFUNCTION("IMPORTRANGE(""https://docs.google.com/spreadsheets/d/1ItG2mGa2ceCfYo0BwxsXqNm01IGEUdYcSSLTEv9YCik/edit?usp=sharing"",""เบิกจ่ายกองทุน!BI84"")"),0)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IFERROR(__xludf.DUMMYFUNCTION("IMPORTRANGE(""https://docs.google.com/spreadsheets/d/1ItG2mGa2ceCfYo0BwxsXqNm01IGEUdYcSSLTEv9YCik/edit?usp=sharing"",""เบิกจ่ายกองทุน!BJ84"")"),0)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548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549">
        <v>0</v>
      </c>
      <c r="R79" s="49">
        <v>0</v>
      </c>
      <c r="S79" s="49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ca="1">IF(L80&gt;0,N80*100/L80,0)</f>
        <v>0</v>
      </c>
      <c r="P80" s="47">
        <f ca="1">IF(M80&gt;0,N80*100/M80,0)</f>
        <v>0</v>
      </c>
      <c r="Q80" s="548">
        <f ca="1">IFERROR(__xludf.DUMMYFUNCTION("IMPORTRANGE(""https://docs.google.com/spreadsheets/d/1ItG2mGa2ceCfYo0BwxsXqNm01IGEUdYcSSLTEv9YCik/edit?usp=sharing"",""เบิกจ่ายกองทุน!BK84"")"),0)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IFERROR(__xludf.DUMMYFUNCTION("IMPORTRANGE(""https://docs.google.com/spreadsheets/d/1ItG2mGa2ceCfYo0BwxsXqNm01IGEUdYcSSLTEv9YCik/edit?usp=sharing"",""เบิกจ่ายกองทุน!BL84"")"),0)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IFERROR(__xludf.DUMMYFUNCTION("IMPORTRANGE(""https://docs.google.com/spreadsheets/d/1ItG2mGa2ceCfYo0BwxsXqNm01IGEUdYcSSLTEv9YCik/edit?usp=sharing"",""เบิกจ่ายกองทุน!BM84"")"),0)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558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558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558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IFERROR(__xludf.DUMMYFUNCTION("IMPORTRANGE(""https://docs.google.com/spreadsheets/d/1eHaY18a8A9IcSdp1K8H6x8fbOy06t2VsZHhMHf-1x7Y/edit?usp=sharing"",""แผน!H84"")"),0)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558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IFERROR(__xludf.DUMMYFUNCTION("IMPORTRANGE(""https://docs.google.com/spreadsheets/d/1eHaY18a8A9IcSdp1K8H6x8fbOy06t2VsZHhMHf-1x7Y/edit?usp=sharing"",""แผน!I84"")"),0)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558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IFERROR(__xludf.DUMMYFUNCTION("IMPORTRANGE(""https://docs.google.com/spreadsheets/d/1eHaY18a8A9IcSdp1K8H6x8fbOy06t2VsZHhMHf-1x7Y/edit?usp=sharing"",""แผน!F84"")"),0)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558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IFERROR(__xludf.DUMMYFUNCTION("IMPORTRANGE(""https://docs.google.com/spreadsheets/d/1eHaY18a8A9IcSdp1K8H6x8fbOy06t2VsZHhMHf-1x7Y/edit?usp=sharing"",""แผน!G84"")"),0)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558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IFERROR(__xludf.DUMMYFUNCTION("IMPORTRANGE(""https://docs.google.com/spreadsheets/d/1eHaY18a8A9IcSdp1K8H6x8fbOy06t2VsZHhMHf-1x7Y/edit?usp=sharing"",""แผน!D84"")"),0)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558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IFERROR(__xludf.DUMMYFUNCTION("IMPORTRANGE(""https://docs.google.com/spreadsheets/d/1eHaY18a8A9IcSdp1K8H6x8fbOy06t2VsZHhMHf-1x7Y/edit?usp=sharing"",""แผน!E84"")"),0)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558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IFERROR(__xludf.DUMMYFUNCTION("IMPORTRANGE(""https://docs.google.com/spreadsheets/d/1eHaY18a8A9IcSdp1K8H6x8fbOy06t2VsZHhMHf-1x7Y/edit?usp=sharing"",""แผน!J84"")"),0)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558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782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583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583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550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5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548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548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5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ca="1">IF(L99&gt;0,N99*100/L99,0)</f>
        <v>0</v>
      </c>
      <c r="P99" s="47">
        <f ca="1">IF(M99&gt;0,N99*100/M99,0)</f>
        <v>0</v>
      </c>
      <c r="Q99" s="548">
        <f ca="1">IFERROR(__xludf.DUMMYFUNCTION("IMPORTRANGE(""https://docs.google.com/spreadsheets/d/1ItG2mGa2ceCfYo0BwxsXqNm01IGEUdYcSSLTEv9YCik/edit?usp=sharing"",""เบิกจ่ายกองทุน!AJ84"")"),0)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IFERROR(__xludf.DUMMYFUNCTION("IMPORTRANGE(""https://docs.google.com/spreadsheets/d/1ItG2mGa2ceCfYo0BwxsXqNm01IGEUdYcSSLTEv9YCik/edit?usp=sharing"",""เบิกจ่ายกองทุน!AL84"")"),0)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548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5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ca="1">IF(L102&gt;0,N102*100/L102,0)</f>
        <v>0</v>
      </c>
      <c r="P102" s="47">
        <f ca="1">IF(M102&gt;0,N102*100/M102,0)</f>
        <v>0</v>
      </c>
      <c r="Q102" s="548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5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700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700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700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5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IFERROR(__xludf.DUMMYFUNCTION("IMPORTRANGE(""https://docs.google.com/spreadsheets/d/1eHaY18a8A9IcSdp1K8H6x8fbOy06t2VsZHhMHf-1x7Y/edit?usp=sharing"",""แผน!N84"")"),0)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5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IFERROR(__xludf.DUMMYFUNCTION("IMPORTRANGE(""https://docs.google.com/spreadsheets/d/1eHaY18a8A9IcSdp1K8H6x8fbOy06t2VsZHhMHf-1x7Y/edit?usp=sharing"",""แผน!O84"")"),0)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5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700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700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700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546"/>
      <c r="R113" s="46"/>
      <c r="S113" s="46"/>
      <c r="T113" s="136"/>
      <c r="U113" s="136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IFERROR(__xludf.DUMMYFUNCTION("IMPORTRANGE(""https://docs.google.com/spreadsheets/d/1eHaY18a8A9IcSdp1K8H6x8fbOy06t2VsZHhMHf-1x7Y/edit?usp=sharing"",""แผน!R84"")"),0)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5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782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583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550">
        <f ca="1">Q118+Q119</f>
        <v>191460</v>
      </c>
      <c r="R117" s="132">
        <f ca="1">R118+R119</f>
        <v>191460</v>
      </c>
      <c r="S117" s="132">
        <f ca="1">S118+S119</f>
        <v>147253.44</v>
      </c>
      <c r="T117" s="132">
        <f ca="1">IF(Q117&gt;0,S117*100/Q117,0)</f>
        <v>76.910811657787534</v>
      </c>
      <c r="U117" s="132">
        <f ca="1">IF(R117&gt;0,S117*100/R117,0)</f>
        <v>76.910811657787534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5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548">
        <f ca="1">Q122+Q125</f>
        <v>191460</v>
      </c>
      <c r="R119" s="47">
        <f ca="1">R122+R125</f>
        <v>191460</v>
      </c>
      <c r="S119" s="47">
        <f ca="1">S122+S125</f>
        <v>147253.44</v>
      </c>
      <c r="T119" s="47">
        <f ca="1">IF(Q119&gt;0,S119*100/Q119,0)</f>
        <v>76.910811657787534</v>
      </c>
      <c r="U119" s="47">
        <f ca="1">IF(R119&gt;0,S119*100/R119,0)</f>
        <v>76.910811657787534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548">
        <f ca="1">Q121+Q122</f>
        <v>191460</v>
      </c>
      <c r="R120" s="47">
        <f ca="1">R121+R122</f>
        <v>191460</v>
      </c>
      <c r="S120" s="47">
        <f ca="1">S121+S122</f>
        <v>147253.44</v>
      </c>
      <c r="T120" s="47">
        <f ca="1">IF(Q120&gt;0,S120*100/Q120,0)</f>
        <v>76.910811657787534</v>
      </c>
      <c r="U120" s="47">
        <f ca="1">IF(R120&gt;0,S120*100/R120,0)</f>
        <v>76.910811657787534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5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ca="1">IF(L122&gt;0,N122*100/L122,0)</f>
        <v>0</v>
      </c>
      <c r="P122" s="47">
        <f ca="1">IF(M122&gt;0,N122*100/M122,0)</f>
        <v>0</v>
      </c>
      <c r="Q122" s="548">
        <f ca="1">IFERROR(__xludf.DUMMYFUNCTION("IMPORTRANGE(""https://docs.google.com/spreadsheets/d/1ItG2mGa2ceCfYo0BwxsXqNm01IGEUdYcSSLTEv9YCik/edit?usp=sharing"",""เบิกจ่ายกองทุน!U84"")"),191460)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IFERROR(__xludf.DUMMYFUNCTION("IMPORTRANGE(""https://docs.google.com/spreadsheets/d/1ItG2mGa2ceCfYo0BwxsXqNm01IGEUdYcSSLTEv9YCik/edit?usp=sharing"",""เบิกจ่ายกองทุน!V84"")"),191460)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IFERROR(__xludf.DUMMYFUNCTION("IMPORTRANGE(""https://docs.google.com/spreadsheets/d/1ItG2mGa2ceCfYo0BwxsXqNm01IGEUdYcSSLTEv9YCik/edit?usp=sharing"",""เบิกจ่ายกองทุน!W84"")"),147253.44)</f>
        <v>147253.44</v>
      </c>
      <c r="T122" s="47">
        <f ca="1">IF(Q122&gt;0,S122*100/Q122,0)</f>
        <v>76.910811657787534</v>
      </c>
      <c r="U122" s="47">
        <f ca="1">IF(R122&gt;0,S122*100/R122,0)</f>
        <v>76.910811657787534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548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5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ca="1">IF(L125&gt;0,N125*100/L125,0)</f>
        <v>0</v>
      </c>
      <c r="P125" s="47">
        <f ca="1">IF(M125&gt;0,N125*100/M125,0)</f>
        <v>0</v>
      </c>
      <c r="Q125" s="548">
        <f ca="1">IFERROR(__xludf.DUMMYFUNCTION("IMPORTRANGE(""https://docs.google.com/spreadsheets/d/1ItG2mGa2ceCfYo0BwxsXqNm01IGEUdYcSSLTEv9YCik/edit?usp=sharing"",""เบิกจ่ายกองทุน!X84"")"),0)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IFERROR(__xludf.DUMMYFUNCTION("IMPORTRANGE(""https://docs.google.com/spreadsheets/d/1ItG2mGa2ceCfYo0BwxsXqNm01IGEUdYcSSLTEv9YCik/edit?usp=sharing"",""เบิกจ่ายกองทุน!Y84"")"),0)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IFERROR(__xludf.DUMMYFUNCTION("IMPORTRANGE(""https://docs.google.com/spreadsheets/d/1ItG2mGa2ceCfYo0BwxsXqNm01IGEUdYcSSLTEv9YCik/edit?usp=sharing"",""เบิกจ่ายกองทุน!Z84"")"),0)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5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IFERROR(__xludf.DUMMYFUNCTION("IMPORTRANGE(""https://docs.google.com/spreadsheets/d/1eHaY18a8A9IcSdp1K8H6x8fbOy06t2VsZHhMHf-1x7Y/edit?usp=sharing"",""แผน!FF84"")"),15)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5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IFERROR(__xludf.DUMMYFUNCTION("IMPORTRANGE(""https://docs.google.com/spreadsheets/d/1eHaY18a8A9IcSdp1K8H6x8fbOy06t2VsZHhMHf-1x7Y/edit?usp=sharing"",""แผน!FG84"")"),1)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5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IFERROR(__xludf.DUMMYFUNCTION("IMPORTRANGE(""https://docs.google.com/spreadsheets/d/1eHaY18a8A9IcSdp1K8H6x8fbOy06t2VsZHhMHf-1x7Y/edit?usp=sharing"",""แผน!FH84"")"),15)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5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IFERROR(__xludf.DUMMYFUNCTION("IMPORTRANGE(""https://docs.google.com/spreadsheets/d/1eHaY18a8A9IcSdp1K8H6x8fbOy06t2VsZHhMHf-1x7Y/edit?usp=sharing"",""แผน!FI84"")"),1)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5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5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5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700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782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583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583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583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583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550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5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548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548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5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ca="1">IF(L144&gt;0,N144*100/L144,0)</f>
        <v>0</v>
      </c>
      <c r="P144" s="47">
        <f ca="1">IF(M144&gt;0,N144*100/M144,0)</f>
        <v>0</v>
      </c>
      <c r="Q144" s="548">
        <f ca="1">IFERROR(__xludf.DUMMYFUNCTION("IMPORTRANGE(""https://docs.google.com/spreadsheets/d/1ItG2mGa2ceCfYo0BwxsXqNm01IGEUdYcSSLTEv9YCik/edit?usp=sharing"",""เบิกจ่ายกองทุน!CF84"")"),0)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IFERROR(__xludf.DUMMYFUNCTION("IMPORTRANGE(""https://docs.google.com/spreadsheets/d/1ItG2mGa2ceCfYo0BwxsXqNm01IGEUdYcSSLTEv9YCik/edit?usp=sharing"",""เบิกจ่ายกองทุน!CH84"")"),0)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548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5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ca="1">IF(L147&gt;0,N147*100/L147,0)</f>
        <v>0</v>
      </c>
      <c r="P147" s="47">
        <f ca="1">IF(M147&gt;0,N147*100/M147,0)</f>
        <v>0</v>
      </c>
      <c r="Q147" s="548">
        <f ca="1">IFERROR(__xludf.DUMMYFUNCTION("IMPORTRANGE(""https://docs.google.com/spreadsheets/d/1ItG2mGa2ceCfYo0BwxsXqNm01IGEUdYcSSLTEv9YCik/edit?usp=sharing"",""เบิกจ่ายกองทุน!CI84"")"),0)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IFERROR(__xludf.DUMMYFUNCTION("IMPORTRANGE(""https://docs.google.com/spreadsheets/d/1ItG2mGa2ceCfYo0BwxsXqNm01IGEUdYcSSLTEv9YCik/edit?usp=sharing"",""เบิกจ่ายกองทุน!CJ84"")"),0)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IFERROR(__xludf.DUMMYFUNCTION("IMPORTRANGE(""https://docs.google.com/spreadsheets/d/1ItG2mGa2ceCfYo0BwxsXqNm01IGEUdYcSSLTEv9YCik/edit?usp=sharing"",""เบิกจ่ายกองทุน!CK84"")"),0)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5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5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IFERROR(__xludf.DUMMYFUNCTION("IMPORTRANGE(""https://docs.google.com/spreadsheets/d/1eHaY18a8A9IcSdp1K8H6x8fbOy06t2VsZHhMHf-1x7Y/edit?usp=sharing"",""แผน!U84"")"),0)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5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IFERROR(__xludf.DUMMYFUNCTION("IMPORTRANGE(""https://docs.google.com/spreadsheets/d/1eHaY18a8A9IcSdp1K8H6x8fbOy06t2VsZHhMHf-1x7Y/edit?usp=sharing"",""แผน!V84"")"),0)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5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IFERROR(__xludf.DUMMYFUNCTION("IMPORTRANGE(""https://docs.google.com/spreadsheets/d/1eHaY18a8A9IcSdp1K8H6x8fbOy06t2VsZHhMHf-1x7Y/edit?usp=sharing"",""แผน!W84"")"),0)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5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IFERROR(__xludf.DUMMYFUNCTION("IMPORTRANGE(""https://docs.google.com/spreadsheets/d/1eHaY18a8A9IcSdp1K8H6x8fbOy06t2VsZHhMHf-1x7Y/edit?usp=sharing"",""แผน!X84"")"),0)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5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IFERROR(__xludf.DUMMYFUNCTION("IMPORTRANGE(""https://docs.google.com/spreadsheets/d/1eHaY18a8A9IcSdp1K8H6x8fbOy06t2VsZHhMHf-1x7Y/edit?usp=sharing"",""แผน!Y84"")"),0)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5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782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583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550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5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548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548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5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ca="1">IF(L162&gt;0,N162*100/L162,0)</f>
        <v>0</v>
      </c>
      <c r="P162" s="47">
        <f ca="1">IF(M162&gt;0,N162*100/M162,0)</f>
        <v>0</v>
      </c>
      <c r="Q162" s="548">
        <f ca="1">IFERROR(__xludf.DUMMYFUNCTION("IMPORTRANGE(""https://docs.google.com/spreadsheets/d/1ItG2mGa2ceCfYo0BwxsXqNm01IGEUdYcSSLTEv9YCik/edit?usp=sharing"",""เบิกจ่ายกองทุน!AM84"")"),0)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IFERROR(__xludf.DUMMYFUNCTION("IMPORTRANGE(""https://docs.google.com/spreadsheets/d/1ItG2mGa2ceCfYo0BwxsXqNm01IGEUdYcSSLTEv9YCik/edit?usp=sharing"",""เบิกจ่ายกองทุน!AO84"")"),0)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548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5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ca="1">IF(L165&gt;0,N165*100/L165,0)</f>
        <v>0</v>
      </c>
      <c r="P165" s="47">
        <f ca="1">IF(M165&gt;0,N165*100/M165,0)</f>
        <v>0</v>
      </c>
      <c r="Q165" s="548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5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IFERROR(__xludf.DUMMYFUNCTION("IMPORTRANGE(""https://docs.google.com/spreadsheets/d/1eHaY18a8A9IcSdp1K8H6x8fbOy06t2VsZHhMHf-1x7Y/edit?usp=sharing"",""แผน!Z84"")"),0)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5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IFERROR(__xludf.DUMMYFUNCTION("IMPORTRANGE(""https://docs.google.com/spreadsheets/d/1eHaY18a8A9IcSdp1K8H6x8fbOy06t2VsZHhMHf-1x7Y/edit?usp=sharing"",""แผน!Z84"")"),0)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5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IFERROR(__xludf.DUMMYFUNCTION("IMPORTRANGE(""https://docs.google.com/spreadsheets/d/1eHaY18a8A9IcSdp1K8H6x8fbOy06t2VsZHhMHf-1x7Y/edit?usp=sharing"",""แผน!Z84"")"),0)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545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891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772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770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41020</v>
      </c>
      <c r="N173" s="132">
        <f ca="1">N174+N175</f>
        <v>41020</v>
      </c>
      <c r="O173" s="132">
        <f ca="1">IF(L173&gt;0,N173*100/L173,0)</f>
        <v>209.39254721796834</v>
      </c>
      <c r="P173" s="132">
        <f ca="1">IF(M173&gt;0,N173*100/M173,0)</f>
        <v>100</v>
      </c>
      <c r="Q173" s="550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5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41020</v>
      </c>
      <c r="N175" s="47">
        <f ca="1">N178+N181</f>
        <v>41020</v>
      </c>
      <c r="O175" s="47">
        <f ca="1">IF(L175&gt;0,N175*100/L175,0)</f>
        <v>209.39254721796834</v>
      </c>
      <c r="P175" s="47">
        <f ca="1">IF(M175&gt;0,N175*100/M175,0)</f>
        <v>100</v>
      </c>
      <c r="Q175" s="548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41020</v>
      </c>
      <c r="N176" s="47">
        <f ca="1">N177+N178</f>
        <v>41020</v>
      </c>
      <c r="O176" s="47">
        <f ca="1">IF(L176&gt;0,N176*100/L176,0)</f>
        <v>209.39254721796834</v>
      </c>
      <c r="P176" s="47">
        <f ca="1">IF(M176&gt;0,N176*100/M176,0)</f>
        <v>100</v>
      </c>
      <c r="Q176" s="548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5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ca="1">IF(L178&gt;0,N178*100/L178,0)</f>
        <v>209.39254721796834</v>
      </c>
      <c r="P178" s="47">
        <f ca="1">IF(M178&gt;0,N178*100/M178,0)</f>
        <v>100</v>
      </c>
      <c r="Q178" s="548">
        <f ca="1">IFERROR(__xludf.DUMMYFUNCTION("IMPORTRANGE(""https://docs.google.com/spreadsheets/d/1ItG2mGa2ceCfYo0BwxsXqNm01IGEUdYcSSLTEv9YCik/edit?usp=sharing"",""เบิกจ่ายกองทุน!DG84"")"),0)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IFERROR(__xludf.DUMMYFUNCTION("IMPORTRANGE(""https://docs.google.com/spreadsheets/d/1ItG2mGa2ceCfYo0BwxsXqNm01IGEUdYcSSLTEv9YCik/edit?usp=sharing"",""เบิกจ่ายกองทุน!DI84"")"),0)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548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5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ca="1">IF(L181&gt;0,N181*100/L181,0)</f>
        <v>0</v>
      </c>
      <c r="P181" s="47">
        <f ca="1">IF(M181&gt;0,N181*100/M181,0)</f>
        <v>0</v>
      </c>
      <c r="Q181" s="548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5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IFERROR(__xludf.DUMMYFUNCTION("IMPORTRANGE(""https://docs.google.com/spreadsheets/d/1eHaY18a8A9IcSdp1K8H6x8fbOy06t2VsZHhMHf-1x7Y/edit?usp=sharing"",""แผน!AA84"")"),7)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5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5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770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142600</v>
      </c>
      <c r="M186" s="132">
        <f ca="1">M187+M188</f>
        <v>144600</v>
      </c>
      <c r="N186" s="132">
        <f ca="1">N187+N188</f>
        <v>89494.52</v>
      </c>
      <c r="O186" s="132">
        <f ca="1">IF(L186&gt;0,N186*100/L186,0)</f>
        <v>62.759130434782605</v>
      </c>
      <c r="P186" s="132">
        <f ca="1">IF(M186&gt;0,N186*100/M186,0)</f>
        <v>61.891092669432915</v>
      </c>
      <c r="Q186" s="550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5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142600</v>
      </c>
      <c r="M188" s="47">
        <f ca="1">M191+M194</f>
        <v>144600</v>
      </c>
      <c r="N188" s="47">
        <f ca="1">N191+N194</f>
        <v>89494.52</v>
      </c>
      <c r="O188" s="47">
        <f ca="1">IF(L188&gt;0,N188*100/L188,0)</f>
        <v>62.759130434782605</v>
      </c>
      <c r="P188" s="47">
        <f ca="1">IF(M188&gt;0,N188*100/M188,0)</f>
        <v>61.891092669432915</v>
      </c>
      <c r="Q188" s="548">
        <f ca="1">Q191+Q194</f>
        <v>14000</v>
      </c>
      <c r="R188" s="47">
        <f ca="1">R191+R194</f>
        <v>14000</v>
      </c>
      <c r="S188" s="47">
        <f ca="1">S191+S194</f>
        <v>14000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142600</v>
      </c>
      <c r="M189" s="47">
        <f ca="1">M190+M191</f>
        <v>144600</v>
      </c>
      <c r="N189" s="47">
        <f ca="1">N190+N191</f>
        <v>89494.52</v>
      </c>
      <c r="O189" s="47">
        <f ca="1">IF(L189&gt;0,N189*100/L189,0)</f>
        <v>62.759130434782605</v>
      </c>
      <c r="P189" s="47">
        <f ca="1">IF(M189&gt;0,N189*100/M189,0)</f>
        <v>61.891092669432915</v>
      </c>
      <c r="Q189" s="548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5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IFERROR(__xludf.DUMMYFUNCTION("IMPORTRANGE(""https://docs.google.com/spreadsheets/d/1-uDff_7J0KD5mKrp0Vvzr7lt3OU09vwQwhkpOPPYv2Y/edit?usp=sharing"",""งบพรบ!CU84"")"),142600)</f>
        <v>142600</v>
      </c>
      <c r="M191" s="47">
        <f ca="1">IFERROR(__xludf.DUMMYFUNCTION("IMPORTRANGE(""https://docs.google.com/spreadsheets/d/1-uDff_7J0KD5mKrp0Vvzr7lt3OU09vwQwhkpOPPYv2Y/edit?usp=sharing"",""งบพรบ!CZ84"")"),144600)</f>
        <v>144600</v>
      </c>
      <c r="N191" s="47">
        <f ca="1">IFERROR(__xludf.DUMMYFUNCTION("IMPORTRANGE(""https://docs.google.com/spreadsheets/d/1-uDff_7J0KD5mKrp0Vvzr7lt3OU09vwQwhkpOPPYv2Y/edit?usp=sharing"",""งบพรบ!DB84"")"),89494.52)</f>
        <v>89494.52</v>
      </c>
      <c r="O191" s="47">
        <f ca="1">IF(L191&gt;0,N191*100/L191,0)</f>
        <v>62.759130434782605</v>
      </c>
      <c r="P191" s="47">
        <f ca="1">IF(M191&gt;0,N191*100/M191,0)</f>
        <v>61.891092669432915</v>
      </c>
      <c r="Q191" s="548">
        <f ca="1">IFERROR(__xludf.DUMMYFUNCTION("IMPORTRANGE(""https://docs.google.com/spreadsheets/d/1ItG2mGa2ceCfYo0BwxsXqNm01IGEUdYcSSLTEv9YCik/edit?usp=sharing"",""เบิกจ่ายกองทุน!BQ84"")"),14000)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IFERROR(__xludf.DUMMYFUNCTION("IMPORTRANGE(""https://docs.google.com/spreadsheets/d/1ItG2mGa2ceCfYo0BwxsXqNm01IGEUdYcSSLTEv9YCik/edit?usp=sharing"",""เบิกจ่ายกองทุน!BS84"")"),14000)</f>
        <v>14000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548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5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ca="1">IF(L194&gt;0,N194*100/L194,0)</f>
        <v>0</v>
      </c>
      <c r="P194" s="47">
        <f ca="1">IF(M194&gt;0,N194*100/M194,0)</f>
        <v>0</v>
      </c>
      <c r="Q194" s="548">
        <f ca="1">IFERROR(__xludf.DUMMYFUNCTION("IMPORTRANGE(""https://docs.google.com/spreadsheets/d/1ItG2mGa2ceCfYo0BwxsXqNm01IGEUdYcSSLTEv9YCik/edit?usp=sharing"",""เบิกจ่ายกองทุน!BT84"")"),0)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IFERROR(__xludf.DUMMYFUNCTION("IMPORTRANGE(""https://docs.google.com/spreadsheets/d/1ItG2mGa2ceCfYo0BwxsXqNm01IGEUdYcSSLTEv9YCik/edit?usp=sharing"",""เบิกจ่ายกองทุน!BU84"")"),0)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IFERROR(__xludf.DUMMYFUNCTION("IMPORTRANGE(""https://docs.google.com/spreadsheets/d/1ItG2mGa2ceCfYo0BwxsXqNm01IGEUdYcSSLTEv9YCik/edit?usp=sharing"",""เบิกจ่ายกองทุน!BV84"")"),0)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686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769">
        <v>1980</v>
      </c>
      <c r="O196" s="132">
        <f ca="1">IF(L196&gt;0,N196*100/L196,0)</f>
        <v>33</v>
      </c>
      <c r="P196" s="132">
        <f>IF(M196&gt;0,N196*100/M196,0)</f>
        <v>0</v>
      </c>
      <c r="Q196" s="5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5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IFERROR(__xludf.DUMMYFUNCTION("IMPORTRANGE(""https://docs.google.com/spreadsheets/d/1eHaY18a8A9IcSdp1K8H6x8fbOy06t2VsZHhMHf-1x7Y/edit?usp=sharing"",""แผน!AE84"")"),4)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5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132</v>
      </c>
      <c r="K199" s="46"/>
      <c r="L199" s="546"/>
      <c r="M199" s="46"/>
      <c r="N199" s="46"/>
      <c r="O199" s="46"/>
      <c r="P199" s="46"/>
      <c r="Q199" s="5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132</v>
      </c>
      <c r="K200" s="46"/>
      <c r="L200" s="546"/>
      <c r="M200" s="46"/>
      <c r="N200" s="46"/>
      <c r="O200" s="46"/>
      <c r="P200" s="46"/>
      <c r="Q200" s="5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5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686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5000</v>
      </c>
      <c r="M203" s="46"/>
      <c r="N203" s="132">
        <f>N204+N205+N206+N207</f>
        <v>5000</v>
      </c>
      <c r="O203" s="132">
        <f ca="1">IF(L203&gt;0,N203*100/L203,0)</f>
        <v>100</v>
      </c>
      <c r="P203" s="132">
        <f>IF(M203&gt;0,N203*100/M203,0)</f>
        <v>0</v>
      </c>
      <c r="Q203" s="550">
        <f ca="1">Q204+Q205+Q206+Q207</f>
        <v>14000</v>
      </c>
      <c r="R203" s="46"/>
      <c r="S203" s="132">
        <f>S204+S205+S206+S207</f>
        <v>14000</v>
      </c>
      <c r="T203" s="132">
        <f ca="1">IF(Q203&gt;0,S203*100/Q203,0)</f>
        <v>100</v>
      </c>
      <c r="U203" s="132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IFERROR(__xludf.DUMMYFUNCTION("IMPORTRANGE(""https://docs.google.com/spreadsheets/d/1eHaY18a8A9IcSdp1K8H6x8fbOy06t2VsZHhMHf-1x7Y/edit?usp=sharing"",""แผน!AH84"")"),0)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IFERROR(__xludf.DUMMYFUNCTION("IMPORTRANGE(""https://docs.google.com/spreadsheets/d/1eHaY18a8A9IcSdp1K8H6x8fbOy06t2VsZHhMHf-1x7Y/edit?usp=sharing"",""แผน!AI84"")"),0)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743"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IFERROR(__xludf.DUMMYFUNCTION("IMPORTRANGE(""https://docs.google.com/spreadsheets/d/1eHaY18a8A9IcSdp1K8H6x8fbOy06t2VsZHhMHf-1x7Y/edit?usp=sharing"",""แผน!AK84"")"),1)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IFERROR(__xludf.DUMMYFUNCTION("IMPORTRANGE(""https://docs.google.com/spreadsheets/d/1eHaY18a8A9IcSdp1K8H6x8fbOy06t2VsZHhMHf-1x7Y/edit?usp=sharing"",""แผน!JX84"")"),1)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IFERROR(__xludf.DUMMYFUNCTION("IMPORTRANGE(""https://docs.google.com/spreadsheets/d/1eHaY18a8A9IcSdp1K8H6x8fbOy06t2VsZHhMHf-1x7Y/edit?usp=sharing"",""แผน!JY84"")"),0)</f>
        <v>0</v>
      </c>
      <c r="J212" s="167"/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IFERROR(__xludf.DUMMYFUNCTION("IMPORTRANGE(""https://docs.google.com/spreadsheets/d/1eHaY18a8A9IcSdp1K8H6x8fbOy06t2VsZHhMHf-1x7Y/edit?usp=sharing"",""แผน!AM84"")"),0)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IFERROR(__xludf.DUMMYFUNCTION("IMPORTRANGE(""https://docs.google.com/spreadsheets/d/1eHaY18a8A9IcSdp1K8H6x8fbOy06t2VsZHhMHf-1x7Y/edit?usp=sharing"",""แผน!AN84"")"),0)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IFERROR(__xludf.DUMMYFUNCTION("IMPORTRANGE(""https://docs.google.com/spreadsheets/d/1eHaY18a8A9IcSdp1K8H6x8fbOy06t2VsZHhMHf-1x7Y/edit?usp=sharing"",""แผน!AO84"")"),0)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IFERROR(__xludf.DUMMYFUNCTION("IMPORTRANGE(""https://docs.google.com/spreadsheets/d/1eHaY18a8A9IcSdp1K8H6x8fbOy06t2VsZHhMHf-1x7Y/edit?usp=sharing"",""แผน!LY84"")"),0)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IFERROR(__xludf.DUMMYFUNCTION("IMPORTRANGE(""https://docs.google.com/spreadsheets/d/1eHaY18a8A9IcSdp1K8H6x8fbOy06t2VsZHhMHf-1x7Y/edit?usp=sharing"",""แผน!AP84"")"),0)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686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5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IFERROR(__xludf.DUMMYFUNCTION("IMPORTRANGE(""https://docs.google.com/spreadsheets/d/1eHaY18a8A9IcSdp1K8H6x8fbOy06t2VsZHhMHf-1x7Y/edit?usp=sharing"",""แผน!AR84"")"),2500)</f>
        <v>2500</v>
      </c>
      <c r="M223" s="46"/>
      <c r="N223" s="743">
        <v>0</v>
      </c>
      <c r="O223" s="136"/>
      <c r="P223" s="46"/>
      <c r="Q223" s="5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IFERROR(__xludf.DUMMYFUNCTION("IMPORTRANGE(""https://docs.google.com/spreadsheets/d/1eHaY18a8A9IcSdp1K8H6x8fbOy06t2VsZHhMHf-1x7Y/edit?usp=sharing"",""แผน!AS84"")"),2000)</f>
        <v>2000</v>
      </c>
      <c r="M224" s="46"/>
      <c r="N224" s="743">
        <v>0</v>
      </c>
      <c r="O224" s="136"/>
      <c r="P224" s="46"/>
      <c r="Q224" s="5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IFERROR(__xludf.DUMMYFUNCTION("IMPORTRANGE(""https://docs.google.com/spreadsheets/d/1eHaY18a8A9IcSdp1K8H6x8fbOy06t2VsZHhMHf-1x7Y/edit?usp=sharing"",""แผน!AT84"")"),0)</f>
        <v>0</v>
      </c>
      <c r="M225" s="46"/>
      <c r="N225" s="743">
        <v>0</v>
      </c>
      <c r="O225" s="136"/>
      <c r="P225" s="46"/>
      <c r="Q225" s="5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558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558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IFERROR(__xludf.DUMMYFUNCTION("IMPORTRANGE(""https://docs.google.com/spreadsheets/d/1eHaY18a8A9IcSdp1K8H6x8fbOy06t2VsZHhMHf-1x7Y/edit?usp=sharing"",""แผน!AV84"")"),12000)</f>
        <v>12000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558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5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IFERROR(__xludf.DUMMYFUNCTION("IMPORTRANGE(""https://docs.google.com/spreadsheets/d/1eHaY18a8A9IcSdp1K8H6x8fbOy06t2VsZHhMHf-1x7Y/edit?usp=sharing"",""แผน!AU84"")"),0)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5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686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890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549">
        <v>0</v>
      </c>
      <c r="R233" s="49">
        <v>0</v>
      </c>
      <c r="S233" s="49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9">
        <v>0</v>
      </c>
      <c r="R234" s="49">
        <v>0</v>
      </c>
      <c r="S234" s="49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9">
        <v>0</v>
      </c>
      <c r="R235" s="49">
        <v>0</v>
      </c>
      <c r="S235" s="49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9">
        <v>0</v>
      </c>
      <c r="R236" s="49">
        <v>0</v>
      </c>
      <c r="S236" s="49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5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5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5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5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5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686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5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IFERROR(__xludf.DUMMYFUNCTION("IMPORTRANGE(""https://docs.google.com/spreadsheets/d/1eHaY18a8A9IcSdp1K8H6x8fbOy06t2VsZHhMHf-1x7Y/edit?usp=sharing"",""แผน!AX84"")"),0)</f>
        <v>0</v>
      </c>
      <c r="M244" s="46"/>
      <c r="N244" s="743">
        <v>0</v>
      </c>
      <c r="O244" s="46"/>
      <c r="P244" s="46"/>
      <c r="Q244" s="5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IFERROR(__xludf.DUMMYFUNCTION("IMPORTRANGE(""https://docs.google.com/spreadsheets/d/1eHaY18a8A9IcSdp1K8H6x8fbOy06t2VsZHhMHf-1x7Y/edit?usp=sharing"",""แผน!AY84"")"),0)</f>
        <v>0</v>
      </c>
      <c r="M245" s="46"/>
      <c r="N245" s="743">
        <v>0</v>
      </c>
      <c r="O245" s="46"/>
      <c r="P245" s="46"/>
      <c r="Q245" s="5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IFERROR(__xludf.DUMMYFUNCTION("IMPORTRANGE(""https://docs.google.com/spreadsheets/d/1eHaY18a8A9IcSdp1K8H6x8fbOy06t2VsZHhMHf-1x7Y/edit?usp=sharing"",""แผน!AZ84"")"),0)</f>
        <v>0</v>
      </c>
      <c r="M246" s="46"/>
      <c r="N246" s="743">
        <v>0</v>
      </c>
      <c r="O246" s="46"/>
      <c r="P246" s="46"/>
      <c r="Q246" s="5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IFERROR(__xludf.DUMMYFUNCTION("IMPORTRANGE(""https://docs.google.com/spreadsheets/d/1eHaY18a8A9IcSdp1K8H6x8fbOy06t2VsZHhMHf-1x7Y/edit?usp=sharing"",""แผน!BA84"")"),0)</f>
        <v>0</v>
      </c>
      <c r="M247" s="46"/>
      <c r="N247" s="743">
        <v>0</v>
      </c>
      <c r="O247" s="46"/>
      <c r="P247" s="46"/>
      <c r="Q247" s="5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5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IFERROR(__xludf.DUMMYFUNCTION("IMPORTRANGE(""https://docs.google.com/spreadsheets/d/1eHaY18a8A9IcSdp1K8H6x8fbOy06t2VsZHhMHf-1x7Y/edit?usp=sharing"",""แผน!BG84"")"),0)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5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5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5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5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686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5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IFERROR(__xludf.DUMMYFUNCTION("IMPORTRANGE(""https://docs.google.com/spreadsheets/d/1eHaY18a8A9IcSdp1K8H6x8fbOy06t2VsZHhMHf-1x7Y/edit?usp=sharing"",""แผน!BB84"")"),0)</f>
        <v>0</v>
      </c>
      <c r="M255" s="46"/>
      <c r="N255" s="743">
        <v>0</v>
      </c>
      <c r="O255" s="46"/>
      <c r="P255" s="46"/>
      <c r="Q255" s="5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IFERROR(__xludf.DUMMYFUNCTION("IMPORTRANGE(""https://docs.google.com/spreadsheets/d/1eHaY18a8A9IcSdp1K8H6x8fbOy06t2VsZHhMHf-1x7Y/edit?usp=sharing"",""แผน!BC84"")"),0)</f>
        <v>0</v>
      </c>
      <c r="M256" s="46"/>
      <c r="N256" s="743">
        <v>0</v>
      </c>
      <c r="O256" s="46"/>
      <c r="P256" s="46"/>
      <c r="Q256" s="5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IFERROR(__xludf.DUMMYFUNCTION("IMPORTRANGE(""https://docs.google.com/spreadsheets/d/1eHaY18a8A9IcSdp1K8H6x8fbOy06t2VsZHhMHf-1x7Y/edit?usp=sharing"",""แผน!BD84"")"),0)</f>
        <v>0</v>
      </c>
      <c r="M257" s="46"/>
      <c r="N257" s="743">
        <v>0</v>
      </c>
      <c r="O257" s="46"/>
      <c r="P257" s="46"/>
      <c r="Q257" s="5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IFERROR(__xludf.DUMMYFUNCTION("IMPORTRANGE(""https://docs.google.com/spreadsheets/d/1eHaY18a8A9IcSdp1K8H6x8fbOy06t2VsZHhMHf-1x7Y/edit?usp=sharing"",""แผน!BE84"")"),0)</f>
        <v>0</v>
      </c>
      <c r="M258" s="46"/>
      <c r="N258" s="743">
        <v>0</v>
      </c>
      <c r="O258" s="46"/>
      <c r="P258" s="46"/>
      <c r="Q258" s="5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5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IFERROR(__xludf.DUMMYFUNCTION("IMPORTRANGE(""https://docs.google.com/spreadsheets/d/1eHaY18a8A9IcSdp1K8H6x8fbOy06t2VsZHhMHf-1x7Y/edit?usp=sharing"",""แผน!BH84"")"),0)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5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5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5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5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72"/>
      <c r="R264" s="209"/>
      <c r="S264" s="209"/>
      <c r="T264" s="209"/>
      <c r="U264" s="209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20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70"/>
      <c r="R265" s="216"/>
      <c r="S265" s="216"/>
      <c r="T265" s="216"/>
      <c r="U265" s="216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550">
        <f ca="1">Q267+Q268</f>
        <v>47880</v>
      </c>
      <c r="R266" s="132">
        <f ca="1">R267+R268</f>
        <v>47880</v>
      </c>
      <c r="S266" s="132">
        <f ca="1">S267+S268</f>
        <v>47320</v>
      </c>
      <c r="T266" s="132">
        <f ca="1">IF(Q266&gt;0,S266*100/Q266,0)</f>
        <v>98.830409356725141</v>
      </c>
      <c r="U266" s="132">
        <f ca="1">IF(R266&gt;0,S266*100/R266,0)</f>
        <v>98.830409356725141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5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548">
        <f ca="1">Q271+Q274</f>
        <v>47880</v>
      </c>
      <c r="R268" s="47">
        <f ca="1">R271+R274</f>
        <v>47880</v>
      </c>
      <c r="S268" s="47">
        <f ca="1">S271+S274</f>
        <v>47320</v>
      </c>
      <c r="T268" s="47">
        <f ca="1">IF(Q268&gt;0,S268*100/Q268,0)</f>
        <v>98.830409356725141</v>
      </c>
      <c r="U268" s="47">
        <f ca="1">IF(R268&gt;0,S268*100/R268,0)</f>
        <v>98.830409356725141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548">
        <f ca="1">Q270+Q271</f>
        <v>47880</v>
      </c>
      <c r="R269" s="47">
        <f ca="1">R270+R271</f>
        <v>47880</v>
      </c>
      <c r="S269" s="47">
        <f ca="1">S270+S271</f>
        <v>47320</v>
      </c>
      <c r="T269" s="47">
        <f ca="1">IF(Q269&gt;0,S269*100/Q269,0)</f>
        <v>98.830409356725141</v>
      </c>
      <c r="U269" s="47">
        <f ca="1">IF(R269&gt;0,S269*100/R269,0)</f>
        <v>98.830409356725141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5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IFERROR(__xludf.DUMMYFUNCTION("IMPORTRANGE(""https://docs.google.com/spreadsheets/d/1-uDff_7J0KD5mKrp0Vvzr7lt3OU09vwQwhkpOPPYv2Y/edit?usp=sharing"",""งบพรบ!DE84"")"),5000)</f>
        <v>5000</v>
      </c>
      <c r="M271" s="331">
        <f ca="1">IFERROR(__xludf.DUMMYFUNCTION("IMPORTRANGE(""https://docs.google.com/spreadsheets/d/1-uDff_7J0KD5mKrp0Vvzr7lt3OU09vwQwhkpOPPYv2Y/edit?usp=sharing"",""งบพรบ!DJ84"")"),5000)</f>
        <v>5000</v>
      </c>
      <c r="N271" s="331">
        <f ca="1">IFERROR(__xludf.DUMMYFUNCTION("IMPORTRANGE(""https://docs.google.com/spreadsheets/d/1-uDff_7J0KD5mKrp0Vvzr7lt3OU09vwQwhkpOPPYv2Y/edit?usp=sharing"",""งบพรบ!DL84"")"),0)</f>
        <v>0</v>
      </c>
      <c r="O271" s="331">
        <f ca="1">IF(L271&gt;0,N271*100/L271,0)</f>
        <v>0</v>
      </c>
      <c r="P271" s="331">
        <f ca="1">IF(M271&gt;0,N271*100/M271,0)</f>
        <v>0</v>
      </c>
      <c r="Q271" s="548">
        <f ca="1">IFERROR(__xludf.DUMMYFUNCTION("IMPORTRANGE(""https://docs.google.com/spreadsheets/d/1ItG2mGa2ceCfYo0BwxsXqNm01IGEUdYcSSLTEv9YCik/edit?usp=sharing"",""เบิกจ่ายกองทุน!AP84"")"),47880)</f>
        <v>47880</v>
      </c>
      <c r="R271" s="47">
        <f ca="1">IFERROR(__xludf.DUMMYFUNCTION("IMPORTRANGE(""https://docs.google.com/spreadsheets/d/1ItG2mGa2ceCfYo0BwxsXqNm01IGEUdYcSSLTEv9YCik/edit?usp=sharing"",""เบิกจ่ายกองทุน!AQ84"")"),47880)</f>
        <v>47880</v>
      </c>
      <c r="S271" s="47">
        <f ca="1">IFERROR(__xludf.DUMMYFUNCTION("IMPORTRANGE(""https://docs.google.com/spreadsheets/d/1ItG2mGa2ceCfYo0BwxsXqNm01IGEUdYcSSLTEv9YCik/edit?usp=sharing"",""เบิกจ่ายกองทุน!AR84"")"),47320)</f>
        <v>47320</v>
      </c>
      <c r="T271" s="47">
        <f ca="1">IF(Q271&gt;0,S271*100/Q271,0)</f>
        <v>98.830409356725141</v>
      </c>
      <c r="U271" s="47">
        <f ca="1">IF(R271&gt;0,S271*100/R271,0)</f>
        <v>98.830409356725141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548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5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IFERROR(__xludf.DUMMYFUNCTION("IMPORTRANGE(""https://docs.google.com/spreadsheets/d/1-uDff_7J0KD5mKrp0Vvzr7lt3OU09vwQwhkpOPPYv2Y/edit?usp=sharing"",""งบพรบ!DH84"")"),0)</f>
        <v>0</v>
      </c>
      <c r="M274" s="331">
        <f ca="1">IFERROR(__xludf.DUMMYFUNCTION("IMPORTRANGE(""https://docs.google.com/spreadsheets/d/1-uDff_7J0KD5mKrp0Vvzr7lt3OU09vwQwhkpOPPYv2Y/edit?usp=sharing"",""งบพรบ!DK84"")"),0)</f>
        <v>0</v>
      </c>
      <c r="N274" s="331">
        <f ca="1">IFERROR(__xludf.DUMMYFUNCTION("IMPORTRANGE(""https://docs.google.com/spreadsheets/d/1-uDff_7J0KD5mKrp0Vvzr7lt3OU09vwQwhkpOPPYv2Y/edit?usp=sharing"",""งบพรบ!DM84"")"),0)</f>
        <v>0</v>
      </c>
      <c r="O274" s="331">
        <f ca="1">IF(L274&gt;0,N274*100/L274,0)</f>
        <v>0</v>
      </c>
      <c r="P274" s="331">
        <f ca="1">IF(M274&gt;0,N274*100/M274,0)</f>
        <v>0</v>
      </c>
      <c r="Q274" s="548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558"/>
      <c r="R275" s="136"/>
      <c r="S275" s="136"/>
      <c r="T275" s="136"/>
      <c r="U275" s="136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IFERROR(__xludf.DUMMYFUNCTION("IMPORTRANGE(""https://docs.google.com/spreadsheets/d/1eHaY18a8A9IcSdp1K8H6x8fbOy06t2VsZHhMHf-1x7Y/edit?usp=sharing"",""แผน!EC84"")"),20)</f>
        <v>20</v>
      </c>
      <c r="J276" s="175">
        <v>20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5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713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889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712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711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711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550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5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548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548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5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ca="1">IF(L287&gt;0,N287*100/L287,0)</f>
        <v>0</v>
      </c>
      <c r="P287" s="47">
        <f ca="1">IF(M287&gt;0,N287*100/M287,0)</f>
        <v>0</v>
      </c>
      <c r="Q287" s="548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548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5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ca="1">IF(L290&gt;0,N290*100/L290,0)</f>
        <v>0</v>
      </c>
      <c r="P290" s="47">
        <f ca="1">IF(M290&gt;0,N290*100/M290,0)</f>
        <v>0</v>
      </c>
      <c r="Q290" s="548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558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IFERROR(__xludf.DUMMYFUNCTION("IMPORTRANGE(""https://docs.google.com/spreadsheets/d/1eHaY18a8A9IcSdp1K8H6x8fbOy06t2VsZHhMHf-1x7Y/edit?usp=sharing"",""แผน!EE84"")"),0)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558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IFERROR(__xludf.DUMMYFUNCTION("IMPORTRANGE(""https://docs.google.com/spreadsheets/d/1eHaY18a8A9IcSdp1K8H6x8fbOy06t2VsZHhMHf-1x7Y/edit?usp=sharing"",""แผน!ED84"")"),0)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558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558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IFERROR(__xludf.DUMMYFUNCTION("IMPORTRANGE(""https://docs.google.com/spreadsheets/d/1eHaY18a8A9IcSdp1K8H6x8fbOy06t2VsZHhMHf-1x7Y/edit?usp=sharing"",""แผน!ED84"")"),0)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558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558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700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700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710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888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699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651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550">
        <f ca="1">Q304+Q305</f>
        <v>194611.99</v>
      </c>
      <c r="R303" s="132">
        <f ca="1">R304+R305</f>
        <v>194612</v>
      </c>
      <c r="S303" s="132">
        <f ca="1">S304+S305</f>
        <v>45250</v>
      </c>
      <c r="T303" s="132">
        <f ca="1">IF(Q303&gt;0,S303*100/Q303,0)</f>
        <v>23.251393709092643</v>
      </c>
      <c r="U303" s="132">
        <f ca="1">IF(R303&gt;0,S303*100/R303,0)</f>
        <v>23.251392514336217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5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548">
        <f ca="1">Q308+Q311</f>
        <v>194611.99</v>
      </c>
      <c r="R305" s="47">
        <f ca="1">R308+R311</f>
        <v>194612</v>
      </c>
      <c r="S305" s="47">
        <f ca="1">S308+S311</f>
        <v>45250</v>
      </c>
      <c r="T305" s="47">
        <f ca="1">IF(Q305&gt;0,S305*100/Q305,0)</f>
        <v>23.251393709092643</v>
      </c>
      <c r="U305" s="47">
        <f ca="1">IF(R305&gt;0,S305*100/R305,0)</f>
        <v>23.251392514336217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548">
        <f ca="1">Q307+Q308</f>
        <v>194611.99</v>
      </c>
      <c r="R306" s="47">
        <f ca="1">R307+R308</f>
        <v>194612</v>
      </c>
      <c r="S306" s="47">
        <f ca="1">S307+S308</f>
        <v>45250</v>
      </c>
      <c r="T306" s="47">
        <f ca="1">IF(Q306&gt;0,S306*100/Q306,0)</f>
        <v>23.251393709092643</v>
      </c>
      <c r="U306" s="47">
        <f ca="1">IF(R306&gt;0,S306*100/R306,0)</f>
        <v>23.251392514336217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5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ca="1">IF(L308&gt;0,N308*100/L308,0)</f>
        <v>0</v>
      </c>
      <c r="P308" s="47">
        <f ca="1">IF(M308&gt;0,N308*100/M308,0)</f>
        <v>0</v>
      </c>
      <c r="Q308" s="548">
        <f ca="1">IFERROR(__xludf.DUMMYFUNCTION("IMPORTRANGE(""https://docs.google.com/spreadsheets/d/1ItG2mGa2ceCfYo0BwxsXqNm01IGEUdYcSSLTEv9YCik/edit?usp=sharing"",""เบิกจ่ายกองทุน!BB84"")"),194611.99)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IFERROR(__xludf.DUMMYFUNCTION("IMPORTRANGE(""https://docs.google.com/spreadsheets/d/1ItG2mGa2ceCfYo0BwxsXqNm01IGEUdYcSSLTEv9YCik/edit?usp=sharing"",""เบิกจ่ายกองทุน!BD84"")"),45250)</f>
        <v>45250</v>
      </c>
      <c r="T308" s="47">
        <f ca="1">IF(Q308&gt;0,S308*100/Q308,0)</f>
        <v>23.251393709092643</v>
      </c>
      <c r="U308" s="47">
        <f ca="1">IF(R308&gt;0,S308*100/R308,0)</f>
        <v>23.251392514336217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548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5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ca="1">IF(L311&gt;0,N311*100/L311,0)</f>
        <v>0</v>
      </c>
      <c r="P311" s="47">
        <f ca="1">IF(M311&gt;0,N311*100/M311,0)</f>
        <v>0</v>
      </c>
      <c r="Q311" s="548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5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700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IFERROR(__xludf.DUMMYFUNCTION("IMPORTRANGE(""https://docs.google.com/spreadsheets/d/1eHaY18a8A9IcSdp1K8H6x8fbOy06t2VsZHhMHf-1x7Y/edit?usp=sharing"",""แผน!EF84"")"),20)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5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700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700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700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699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651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550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5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548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548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5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ca="1">IF(L325&gt;0,N325*100/L325,0)</f>
        <v>0</v>
      </c>
      <c r="P325" s="47">
        <f ca="1">IF(M325&gt;0,N325*100/M325,0)</f>
        <v>0</v>
      </c>
      <c r="Q325" s="548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548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5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ca="1">IF(L328&gt;0,N328*100/L328,0)</f>
        <v>0</v>
      </c>
      <c r="P328" s="47">
        <f ca="1">IF(M328&gt;0,N328*100/M328,0)</f>
        <v>0</v>
      </c>
      <c r="Q328" s="548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5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IFERROR(__xludf.DUMMYFUNCTION("IMPORTRANGE(""https://docs.google.com/spreadsheets/d/1eHaY18a8A9IcSdp1K8H6x8fbOy06t2VsZHhMHf-1x7Y/edit?usp=sharing"",""แผน!EJ84"")"),0)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5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699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140</v>
      </c>
      <c r="J332" s="697">
        <f ca="1">J344+J347+J348+J349+J353</f>
        <v>610</v>
      </c>
      <c r="K332" s="696">
        <f ca="1">IF(I332&gt;0,J332*100/I332,0)</f>
        <v>435.71428571428572</v>
      </c>
      <c r="L332" s="651"/>
      <c r="M332" s="312"/>
      <c r="N332" s="312"/>
      <c r="O332" s="312"/>
      <c r="P332" s="312"/>
      <c r="Q332" s="651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86836.59</v>
      </c>
      <c r="O333" s="132">
        <f ca="1">IF(L333&gt;0,N333*100/L333,0)</f>
        <v>50.48638953488372</v>
      </c>
      <c r="P333" s="132">
        <f ca="1">IF(M333&gt;0,N333*100/M333,0)</f>
        <v>50.48638953488372</v>
      </c>
      <c r="Q333" s="550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5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86836.59</v>
      </c>
      <c r="O335" s="47">
        <f ca="1">IF(L335&gt;0,N335*100/L335,0)</f>
        <v>50.48638953488372</v>
      </c>
      <c r="P335" s="47">
        <f ca="1">IF(M335&gt;0,N335*100/M335,0)</f>
        <v>50.48638953488372</v>
      </c>
      <c r="Q335" s="548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86836.59</v>
      </c>
      <c r="O336" s="47">
        <f ca="1">IF(L336&gt;0,N336*100/L336,0)</f>
        <v>50.48638953488372</v>
      </c>
      <c r="P336" s="47">
        <f ca="1">IF(M336&gt;0,N336*100/M336,0)</f>
        <v>50.48638953488372</v>
      </c>
      <c r="Q336" s="548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5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IFERROR(__xludf.DUMMYFUNCTION("IMPORTRANGE(""https://docs.google.com/spreadsheets/d/1-uDff_7J0KD5mKrp0Vvzr7lt3OU09vwQwhkpOPPYv2Y/edit?usp=sharing"",""งบพรบ!ES84"")"),172000)</f>
        <v>172000</v>
      </c>
      <c r="M338" s="47">
        <f ca="1">IFERROR(__xludf.DUMMYFUNCTION("IMPORTRANGE(""https://docs.google.com/spreadsheets/d/1-uDff_7J0KD5mKrp0Vvzr7lt3OU09vwQwhkpOPPYv2Y/edit?usp=sharing"",""งบพรบ!EX84"")"),172000)</f>
        <v>172000</v>
      </c>
      <c r="N338" s="47">
        <f ca="1">IFERROR(__xludf.DUMMYFUNCTION("IMPORTRANGE(""https://docs.google.com/spreadsheets/d/1-uDff_7J0KD5mKrp0Vvzr7lt3OU09vwQwhkpOPPYv2Y/edit?usp=sharing"",""งบพรบ!EZ84"")"),86836.59)</f>
        <v>86836.59</v>
      </c>
      <c r="O338" s="47">
        <f ca="1">IF(L338&gt;0,N338*100/L338,0)</f>
        <v>50.48638953488372</v>
      </c>
      <c r="P338" s="47">
        <f ca="1">IF(M338&gt;0,N338*100/M338,0)</f>
        <v>50.48638953488372</v>
      </c>
      <c r="Q338" s="548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548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5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ca="1">IF(L341&gt;0,N341*100/L341,0)</f>
        <v>0</v>
      </c>
      <c r="P341" s="47">
        <f ca="1">IF(M341&gt;0,N341*100/M341,0)</f>
        <v>0</v>
      </c>
      <c r="Q341" s="548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5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164</v>
      </c>
      <c r="K343" s="688">
        <v>0</v>
      </c>
      <c r="L343" s="686"/>
      <c r="M343" s="230"/>
      <c r="N343" s="230"/>
      <c r="O343" s="230"/>
      <c r="P343" s="230"/>
      <c r="Q343" s="686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IFERROR(__xludf.DUMMYFUNCTION("IMPORTRANGE(""https://docs.google.com/spreadsheets/d/1eHaY18a8A9IcSdp1K8H6x8fbOy06t2VsZHhMHf-1x7Y/edit?usp=sharing"",""แผน!EK84"")"),140)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 ca="1">IF(I344&gt;0,J344*100/I344,0)</f>
        <v>117.14285714285714</v>
      </c>
      <c r="L344" s="546"/>
      <c r="M344" s="46"/>
      <c r="N344" s="46"/>
      <c r="O344" s="46"/>
      <c r="P344" s="46"/>
      <c r="Q344" s="5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5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IFERROR(__xludf.DUMMYFUNCTION("IMPORTRANGE(""https://docs.google.com/spreadsheets/d/1eHaY18a8A9IcSdp1K8H6x8fbOy06t2VsZHhMHf-1x7Y/edit?usp=sharing"",""แผน!EL84"")"),1)</f>
        <v>1</v>
      </c>
      <c r="J346" s="152">
        <f ca="1">IFERROR(__xludf.DUMMYFUNCTION("IMPORTRANGE(""https://docs.google.com/spreadsheets/d/1awYsYK3VOup2i3Pq_Yjnu8DRu_mYwSBnCR2QPthd0rU/edit?usp=sharing"",""ศูนย์รวม!E84"")"),1)</f>
        <v>1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5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546"/>
      <c r="M347" s="46"/>
      <c r="N347" s="46"/>
      <c r="O347" s="46"/>
      <c r="P347" s="46"/>
      <c r="Q347" s="5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546"/>
      <c r="M348" s="46"/>
      <c r="N348" s="46"/>
      <c r="O348" s="46"/>
      <c r="P348" s="46"/>
      <c r="Q348" s="5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546"/>
      <c r="M349" s="46"/>
      <c r="N349" s="46"/>
      <c r="O349" s="46"/>
      <c r="P349" s="46"/>
      <c r="Q349" s="5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5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447</v>
      </c>
      <c r="K351" s="229">
        <v>0</v>
      </c>
      <c r="L351" s="686"/>
      <c r="M351" s="230"/>
      <c r="N351" s="230"/>
      <c r="O351" s="230"/>
      <c r="P351" s="230"/>
      <c r="Q351" s="686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IFERROR(__xludf.DUMMYFUNCTION("IMPORTRANGE(""https://docs.google.com/spreadsheets/d/1awYsYK3VOup2i3Pq_Yjnu8DRu_mYwSBnCR2QPthd0rU/edit?usp=sharing"",""โฉนดM3!G84"")"),1)</f>
        <v>1</v>
      </c>
      <c r="K352" s="46"/>
      <c r="L352" s="546"/>
      <c r="M352" s="46"/>
      <c r="N352" s="46"/>
      <c r="O352" s="46"/>
      <c r="P352" s="46"/>
      <c r="Q352" s="5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IFERROR(__xludf.DUMMYFUNCTION("IMPORTRANGE(""https://docs.google.com/spreadsheets/d/1awYsYK3VOup2i3Pq_Yjnu8DRu_mYwSBnCR2QPthd0rU/edit?usp=sharing"",""โฉนดM3!H84"")"),446)</f>
        <v>446</v>
      </c>
      <c r="K353" s="46"/>
      <c r="L353" s="546"/>
      <c r="M353" s="46"/>
      <c r="N353" s="46"/>
      <c r="O353" s="46"/>
      <c r="P353" s="46"/>
      <c r="Q353" s="5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5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651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684130</v>
      </c>
      <c r="M356" s="132">
        <f ca="1">M357+M358</f>
        <v>746650</v>
      </c>
      <c r="N356" s="132">
        <f ca="1">N357+N358</f>
        <v>530689.24</v>
      </c>
      <c r="O356" s="132">
        <f ca="1">IF(L356&gt;0,N356*100/L356,0)</f>
        <v>77.571403095902824</v>
      </c>
      <c r="P356" s="132">
        <f ca="1">IF(M356&gt;0,N356*100/M356,0)</f>
        <v>71.076038304426433</v>
      </c>
      <c r="Q356" s="550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5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684130</v>
      </c>
      <c r="M358" s="47">
        <f ca="1">M361+M364</f>
        <v>746650</v>
      </c>
      <c r="N358" s="47">
        <f ca="1">N361+N364</f>
        <v>530689.24</v>
      </c>
      <c r="O358" s="47">
        <f ca="1">IF(L358&gt;0,N358*100/L358,0)</f>
        <v>77.571403095902824</v>
      </c>
      <c r="P358" s="47">
        <f ca="1">IF(M358&gt;0,N358*100/M358,0)</f>
        <v>71.076038304426433</v>
      </c>
      <c r="Q358" s="548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684130</v>
      </c>
      <c r="M359" s="47">
        <f ca="1">M360+M361</f>
        <v>746650</v>
      </c>
      <c r="N359" s="47">
        <f ca="1">N360+N361</f>
        <v>530689.24</v>
      </c>
      <c r="O359" s="47">
        <f ca="1">IF(L359&gt;0,N359*100/L359,0)</f>
        <v>77.571403095902824</v>
      </c>
      <c r="P359" s="47">
        <f ca="1">IF(M359&gt;0,N359*100/M359,0)</f>
        <v>71.076038304426433</v>
      </c>
      <c r="Q359" s="548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5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IFERROR(__xludf.DUMMYFUNCTION("IMPORTRANGE(""https://docs.google.com/spreadsheets/d/1-uDff_7J0KD5mKrp0Vvzr7lt3OU09vwQwhkpOPPYv2Y/edit?usp=sharing"",""งบพรบ!FC84"")"),684130)</f>
        <v>684130</v>
      </c>
      <c r="M361" s="47">
        <f ca="1">IFERROR(__xludf.DUMMYFUNCTION("IMPORTRANGE(""https://docs.google.com/spreadsheets/d/1-uDff_7J0KD5mKrp0Vvzr7lt3OU09vwQwhkpOPPYv2Y/edit?usp=sharing"",""งบพรบ!FH84"")"),746650)</f>
        <v>746650</v>
      </c>
      <c r="N361" s="47">
        <f ca="1">IFERROR(__xludf.DUMMYFUNCTION("IMPORTRANGE(""https://docs.google.com/spreadsheets/d/1-uDff_7J0KD5mKrp0Vvzr7lt3OU09vwQwhkpOPPYv2Y/edit?usp=sharing"",""งบพรบ!FJ84"")"),530689.24)</f>
        <v>530689.24</v>
      </c>
      <c r="O361" s="47">
        <f ca="1">IF(L361&gt;0,N361*100/L361,0)</f>
        <v>77.571403095902824</v>
      </c>
      <c r="P361" s="47">
        <f ca="1">IF(M361&gt;0,N361*100/M361,0)</f>
        <v>71.076038304426433</v>
      </c>
      <c r="Q361" s="548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548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5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ca="1">IF(L364&gt;0,N364*100/L364,0)</f>
        <v>0</v>
      </c>
      <c r="P364" s="47">
        <f ca="1">IF(M364&gt;0,N364*100/M364,0)</f>
        <v>0</v>
      </c>
      <c r="Q364" s="548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89</v>
      </c>
      <c r="J365" s="228">
        <f ca="1">J371</f>
        <v>67</v>
      </c>
      <c r="K365" s="229">
        <f ca="1">IF(I365&gt;0,J365*100/I365,0)</f>
        <v>75.280898876404493</v>
      </c>
      <c r="L365" s="686"/>
      <c r="M365" s="230"/>
      <c r="N365" s="230"/>
      <c r="O365" s="230"/>
      <c r="P365" s="230"/>
      <c r="Q365" s="686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558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IFERROR(__xludf.DUMMYFUNCTION("IMPORTRANGE(""https://docs.google.com/spreadsheets/d/1tdoBKaGub7dwA3U6UFTqxio9LNnvDCQjHKmttSEBsFQ/edit?usp=sharing"",""จัดที่ดิน!AB84"")"),74)</f>
        <v>74</v>
      </c>
      <c r="K367" s="47">
        <f>IF(I367&gt;0,J367*100/I367,0)</f>
        <v>0</v>
      </c>
      <c r="L367" s="558"/>
      <c r="M367" s="136"/>
      <c r="N367" s="136"/>
      <c r="O367" s="136"/>
      <c r="P367" s="136"/>
      <c r="Q367" s="558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IFERROR(__xludf.DUMMYFUNCTION("IMPORTRANGE(""https://docs.google.com/spreadsheets/d/1eHaY18a8A9IcSdp1K8H6x8fbOy06t2VsZHhMHf-1x7Y/edit?usp=sharing"",""แผน!EW84"")"),470)</f>
        <v>470</v>
      </c>
      <c r="J368" s="685">
        <f ca="1">IFERROR(__xludf.DUMMYFUNCTION("IMPORTRANGE(""https://docs.google.com/spreadsheets/d/1tdoBKaGub7dwA3U6UFTqxio9LNnvDCQjHKmttSEBsFQ/edit?usp=sharing"",""จัดที่ดิน!AC84"")"),550.21)</f>
        <v>550.21</v>
      </c>
      <c r="K368" s="47">
        <f ca="1">IF(I368&gt;0,J368*100/I368,0)</f>
        <v>117.06595744680851</v>
      </c>
      <c r="L368" s="558"/>
      <c r="M368" s="136"/>
      <c r="N368" s="136"/>
      <c r="O368" s="136"/>
      <c r="P368" s="136"/>
      <c r="Q368" s="558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IFERROR(__xludf.DUMMYFUNCTION("IMPORTRANGE(""https://docs.google.com/spreadsheets/d/1eHaY18a8A9IcSdp1K8H6x8fbOy06t2VsZHhMHf-1x7Y/edit?usp=sharing"",""แผน!EX84"")"),89)</f>
        <v>89</v>
      </c>
      <c r="J369" s="152">
        <f ca="1">IFERROR(__xludf.DUMMYFUNCTION("IMPORTRANGE(""https://docs.google.com/spreadsheets/d/1tdoBKaGub7dwA3U6UFTqxio9LNnvDCQjHKmttSEBsFQ/edit?usp=sharing"",""จัดที่ดิน!AD84"")"),114)</f>
        <v>114</v>
      </c>
      <c r="K369" s="47">
        <f ca="1">IF(I369&gt;0,J369*100/I369,0)</f>
        <v>128.08988764044943</v>
      </c>
      <c r="L369" s="558"/>
      <c r="M369" s="136"/>
      <c r="N369" s="136"/>
      <c r="O369" s="136"/>
      <c r="P369" s="136"/>
      <c r="Q369" s="558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IFERROR(__xludf.DUMMYFUNCTION("IMPORTRANGE(""https://docs.google.com/spreadsheets/d/1tdoBKaGub7dwA3U6UFTqxio9LNnvDCQjHKmttSEBsFQ/edit?usp=sharing"",""จัดที่ดิน!AE84"")"),790.25)</f>
        <v>790.25</v>
      </c>
      <c r="K370" s="47">
        <f>IF(I370&gt;0,J370*100/I370,0)</f>
        <v>0</v>
      </c>
      <c r="L370" s="558"/>
      <c r="M370" s="136"/>
      <c r="N370" s="136"/>
      <c r="O370" s="136"/>
      <c r="P370" s="136"/>
      <c r="Q370" s="558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IFERROR(__xludf.DUMMYFUNCTION("IMPORTRANGE(""https://docs.google.com/spreadsheets/d/1eHaY18a8A9IcSdp1K8H6x8fbOy06t2VsZHhMHf-1x7Y/edit?usp=sharing"",""แผน!EY84"")"),89)</f>
        <v>89</v>
      </c>
      <c r="J371" s="152">
        <f ca="1">IFERROR(__xludf.DUMMYFUNCTION("IMPORTRANGE(""https://docs.google.com/spreadsheets/d/1tdoBKaGub7dwA3U6UFTqxio9LNnvDCQjHKmttSEBsFQ/edit?usp=sharing"",""จัดที่ดิน!AF84"")"),67)</f>
        <v>67</v>
      </c>
      <c r="K371" s="47">
        <f ca="1">IF(I371&gt;0,J371*100/I371,0)</f>
        <v>75.280898876404493</v>
      </c>
      <c r="L371" s="558"/>
      <c r="M371" s="136"/>
      <c r="N371" s="136"/>
      <c r="O371" s="136"/>
      <c r="P371" s="136"/>
      <c r="Q371" s="558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IFERROR(__xludf.DUMMYFUNCTION("IMPORTRANGE(""https://docs.google.com/spreadsheets/d/1tdoBKaGub7dwA3U6UFTqxio9LNnvDCQjHKmttSEBsFQ/edit?usp=sharing"",""จัดที่ดิน!AG84"")"),428.12)</f>
        <v>428.12</v>
      </c>
      <c r="K372" s="47">
        <f>IF(I372&gt;0,J372*100/I372,0)</f>
        <v>0</v>
      </c>
      <c r="L372" s="558"/>
      <c r="M372" s="136"/>
      <c r="N372" s="136"/>
      <c r="O372" s="136"/>
      <c r="P372" s="136"/>
      <c r="Q372" s="558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545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150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651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550">
        <f ca="1">Q376+Q377</f>
        <v>9375</v>
      </c>
      <c r="R375" s="132">
        <f ca="1">R376+R377</f>
        <v>9375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5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548">
        <f ca="1">Q380+Q383</f>
        <v>9375</v>
      </c>
      <c r="R377" s="47">
        <f ca="1">R380+R383</f>
        <v>9375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548">
        <f ca="1">Q379+Q380</f>
        <v>9375</v>
      </c>
      <c r="R378" s="47">
        <f ca="1">R379+R380</f>
        <v>9375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5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IFERROR(__xludf.DUMMYFUNCTION("IMPORTRANGE(""https://docs.google.com/spreadsheets/d/1-uDff_7J0KD5mKrp0Vvzr7lt3OU09vwQwhkpOPPYv2Y/edit?usp=sharing"",""งบพรบ!IE84"")"),0)</f>
        <v>0</v>
      </c>
      <c r="M380" s="47">
        <f ca="1">IFERROR(__xludf.DUMMYFUNCTION("IMPORTRANGE(""https://docs.google.com/spreadsheets/d/1-uDff_7J0KD5mKrp0Vvzr7lt3OU09vwQwhkpOPPYv2Y/edit?usp=sharing"",""งบพรบ!IJ84"")"),0)</f>
        <v>0</v>
      </c>
      <c r="N380" s="47">
        <f ca="1">IFERROR(__xludf.DUMMYFUNCTION("IMPORTRANGE(""https://docs.google.com/spreadsheets/d/1-uDff_7J0KD5mKrp0Vvzr7lt3OU09vwQwhkpOPPYv2Y/edit?usp=sharing"",""งบพรบ!IL84"")"),0)</f>
        <v>0</v>
      </c>
      <c r="O380" s="47">
        <f ca="1">IF(L380&gt;0,N380*100/L380,0)</f>
        <v>0</v>
      </c>
      <c r="P380" s="47">
        <f ca="1">IF(M380&gt;0,N380*100/M380,0)</f>
        <v>0</v>
      </c>
      <c r="Q380" s="548">
        <f ca="1">IFERROR(__xludf.DUMMYFUNCTION("IMPORTRANGE(""https://docs.google.com/spreadsheets/d/1ItG2mGa2ceCfYo0BwxsXqNm01IGEUdYcSSLTEv9YCik/edit?usp=sharing"",""เบิกจ่ายกองทุน!BW84"")"),9375)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IFERROR(__xludf.DUMMYFUNCTION("IMPORTRANGE(""https://docs.google.com/spreadsheets/d/1ItG2mGa2ceCfYo0BwxsXqNm01IGEUdYcSSLTEv9YCik/edit?usp=sharing"",""เบิกจ่ายกองทุน!BY84"")"),0)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548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5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IFERROR(__xludf.DUMMYFUNCTION("IMPORTRANGE(""https://docs.google.com/spreadsheets/d/1-uDff_7J0KD5mKrp0Vvzr7lt3OU09vwQwhkpOPPYv2Y/edit?usp=sharing"",""งบพรบ!IH84"")"),0)</f>
        <v>0</v>
      </c>
      <c r="M383" s="47">
        <f ca="1">IFERROR(__xludf.DUMMYFUNCTION("IMPORTRANGE(""https://docs.google.com/spreadsheets/d/1-uDff_7J0KD5mKrp0Vvzr7lt3OU09vwQwhkpOPPYv2Y/edit?usp=sharing"",""งบพรบ!IK84"")"),0)</f>
        <v>0</v>
      </c>
      <c r="N383" s="47">
        <f ca="1">IFERROR(__xludf.DUMMYFUNCTION("IMPORTRANGE(""https://docs.google.com/spreadsheets/d/1-uDff_7J0KD5mKrp0Vvzr7lt3OU09vwQwhkpOPPYv2Y/edit?usp=sharing"",""งบพรบ!IM84"")"),0)</f>
        <v>0</v>
      </c>
      <c r="O383" s="47">
        <f ca="1">IF(L383&gt;0,N383*100/L383,0)</f>
        <v>0</v>
      </c>
      <c r="P383" s="47">
        <f ca="1">IF(M383&gt;0,N383*100/M383,0)</f>
        <v>0</v>
      </c>
      <c r="Q383" s="548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5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IFERROR(__xludf.DUMMYFUNCTION("IMPORTRANGE(""https://docs.google.com/spreadsheets/d/1w5rwWK1o49a35cNtocGL0gxDwhFSTZUQu90BiH9_zqM/edit?usp=sharing"",""RTK!H84"")"),0)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5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IFERROR(__xludf.DUMMYFUNCTION("IMPORTRANGE(""https://docs.google.com/spreadsheets/d/1w5rwWK1o49a35cNtocGL0gxDwhFSTZUQu90BiH9_zqM/edit?usp=sharing"",""RTK!G84"")"),150)</f>
        <v>150</v>
      </c>
      <c r="J386" s="152">
        <f ca="1">IFERROR(__xludf.DUMMYFUNCTION("IMPORTRANGE(""https://docs.google.com/spreadsheets/d/1w5rwWK1o49a35cNtocGL0gxDwhFSTZUQu90BiH9_zqM/edit?usp=sharing"",""RTK!I84"")"),0)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5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IFERROR(__xludf.DUMMYFUNCTION("IMPORTRANGE(""https://docs.google.com/spreadsheets/d/1w5rwWK1o49a35cNtocGL0gxDwhFSTZUQu90BiH9_zqM/edit?usp=sharing"",""RTK!L84"")"),0)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546"/>
      <c r="R387" s="46"/>
      <c r="S387" s="46"/>
      <c r="T387" s="46"/>
      <c r="U387" s="46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IFERROR(__xludf.DUMMYFUNCTION("IMPORTRANGE(""https://docs.google.com/spreadsheets/d/1w5rwWK1o49a35cNtocGL0gxDwhFSTZUQu90BiH9_zqM/edit?usp=sharing"",""RTK!K84"")"),0)</f>
        <v>0</v>
      </c>
      <c r="J388" s="330">
        <f ca="1">IFERROR(__xludf.DUMMYFUNCTION("IMPORTRANGE(""https://docs.google.com/spreadsheets/d/1w5rwWK1o49a35cNtocGL0gxDwhFSTZUQu90BiH9_zqM/edit?usp=sharing"",""RTK!M84"")"),0)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546"/>
      <c r="R388" s="46"/>
      <c r="S388" s="46"/>
      <c r="T388" s="46"/>
      <c r="U388" s="46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590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562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651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550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5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548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548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5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548">
        <f ca="1">IFERROR(__xludf.DUMMYFUNCTION("IMPORTRANGE(""https://docs.google.com/spreadsheets/d/1ItG2mGa2ceCfYo0BwxsXqNm01IGEUdYcSSLTEv9YCik/edit?usp=sharing"",""เบิกจ่ายกองทุน!CL84"")"),0)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IFERROR(__xludf.DUMMYFUNCTION("IMPORTRANGE(""https://docs.google.com/spreadsheets/d/1ItG2mGa2ceCfYo0BwxsXqNm01IGEUdYcSSLTEv9YCik/edit?usp=sharing"",""เบิกจ่ายกองทุน!CM84"")"),0)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IFERROR(__xludf.DUMMYFUNCTION("IMPORTRANGE(""https://docs.google.com/spreadsheets/d/1ItG2mGa2ceCfYo0BwxsXqNm01IGEUdYcSSLTEv9YCik/edit?usp=sharing"",""เบิกจ่ายกองทุน!CN84"")"),0)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548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5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548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5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590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590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590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590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590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590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590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590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590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562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651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20710</v>
      </c>
      <c r="M413" s="132">
        <f ca="1">M414+M415</f>
        <v>20710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550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5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20710</v>
      </c>
      <c r="M415" s="47">
        <f ca="1">M418+M421</f>
        <v>20710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548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20710</v>
      </c>
      <c r="M416" s="47">
        <f ca="1">M417+M418</f>
        <v>20710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548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5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IFERROR(__xludf.DUMMYFUNCTION("IMPORTRANGE(""https://docs.google.com/spreadsheets/d/1-uDff_7J0KD5mKrp0Vvzr7lt3OU09vwQwhkpOPPYv2Y/edit?usp=sharing"",""งบพรบ!IO84"")"),20710)</f>
        <v>20710</v>
      </c>
      <c r="M418" s="47">
        <f ca="1">IFERROR(__xludf.DUMMYFUNCTION("IMPORTRANGE(""https://docs.google.com/spreadsheets/d/1-uDff_7J0KD5mKrp0Vvzr7lt3OU09vwQwhkpOPPYv2Y/edit?usp=sharing"",""งบพรบ!IT84"")"),20710)</f>
        <v>20710</v>
      </c>
      <c r="N418" s="47">
        <f ca="1">IFERROR(__xludf.DUMMYFUNCTION("IMPORTRANGE(""https://docs.google.com/spreadsheets/d/1-uDff_7J0KD5mKrp0Vvzr7lt3OU09vwQwhkpOPPYv2Y/edit?usp=sharing"",""งบพรบ!IV84"")"),0)</f>
        <v>0</v>
      </c>
      <c r="O418" s="47">
        <f ca="1">IF(L418&gt;0,N418*100/L418,0)</f>
        <v>0</v>
      </c>
      <c r="P418" s="47">
        <f ca="1">IF(M418&gt;0,N418*100/M418,0)</f>
        <v>0</v>
      </c>
      <c r="Q418" s="548">
        <f ca="1">IFERROR(__xludf.DUMMYFUNCTION("IMPORTRANGE(""https://docs.google.com/spreadsheets/d/1ItG2mGa2ceCfYo0BwxsXqNm01IGEUdYcSSLTEv9YCik/edit?usp=sharing"",""เบิกจ่ายกองทุน!BZ84"")"),15150)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IFERROR(__xludf.DUMMYFUNCTION("IMPORTRANGE(""https://docs.google.com/spreadsheets/d/1ItG2mGa2ceCfYo0BwxsXqNm01IGEUdYcSSLTEv9YCik/edit?usp=sharing"",""เบิกจ่ายกองทุน!CA84"")"),15150)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IFERROR(__xludf.DUMMYFUNCTION("IMPORTRANGE(""https://docs.google.com/spreadsheets/d/1ItG2mGa2ceCfYo0BwxsXqNm01IGEUdYcSSLTEv9YCik/edit?usp=sharing"",""เบิกจ่ายกองทุน!CB84"")"),0)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548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5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IFERROR(__xludf.DUMMYFUNCTION("IMPORTRANGE(""https://docs.google.com/spreadsheets/d/1-uDff_7J0KD5mKrp0Vvzr7lt3OU09vwQwhkpOPPYv2Y/edit?usp=sharing"",""งบพรบ!IR84"")"),0)</f>
        <v>0</v>
      </c>
      <c r="M421" s="47">
        <f ca="1">IFERROR(__xludf.DUMMYFUNCTION("IMPORTRANGE(""https://docs.google.com/spreadsheets/d/1-uDff_7J0KD5mKrp0Vvzr7lt3OU09vwQwhkpOPPYv2Y/edit?usp=sharing"",""งบพรบ!IU84"")"),0)</f>
        <v>0</v>
      </c>
      <c r="N421" s="47">
        <f ca="1">IFERROR(__xludf.DUMMYFUNCTION("IMPORTRANGE(""https://docs.google.com/spreadsheets/d/1-uDff_7J0KD5mKrp0Vvzr7lt3OU09vwQwhkpOPPYv2Y/edit?usp=sharing"",""งบพรบ!IW84"")"),0)</f>
        <v>0</v>
      </c>
      <c r="O421" s="47">
        <f ca="1">IF(L421&gt;0,N421*100/L421,0)</f>
        <v>0</v>
      </c>
      <c r="P421" s="47">
        <f ca="1">IF(M421&gt;0,N421*100/M421,0)</f>
        <v>0</v>
      </c>
      <c r="Q421" s="548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5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569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IFERROR(__xludf.DUMMYFUNCTION("IMPORTRANGE(""https://docs.google.com/spreadsheets/d/1eHaY18a8A9IcSdp1K8H6x8fbOy06t2VsZHhMHf-1x7Y/edit?usp=sharing"",""แผน!HJ84"")"),0)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5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IFERROR(__xludf.DUMMYFUNCTION("IMPORTRANGE(""https://docs.google.com/spreadsheets/d/1eHaY18a8A9IcSdp1K8H6x8fbOy06t2VsZHhMHf-1x7Y/edit?usp=sharing"",""แผน!HK84"")"),0)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5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5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5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5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5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5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5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IFERROR(__xludf.DUMMYFUNCTION("IMPORTRANGE(""https://docs.google.com/spreadsheets/d/1eHaY18a8A9IcSdp1K8H6x8fbOy06t2VsZHhMHf-1x7Y/edit?usp=sharing"",""แผน!HJ84"")"),0)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5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IFERROR(__xludf.DUMMYFUNCTION("IMPORTRANGE(""https://docs.google.com/spreadsheets/d/1eHaY18a8A9IcSdp1K8H6x8fbOy06t2VsZHhMHf-1x7Y/edit?usp=sharing"",""แผน!HK84"")"),0)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5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5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5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5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5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5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5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IFERROR(__xludf.DUMMYFUNCTION("IMPORTRANGE(""https://docs.google.com/spreadsheets/d/1eHaY18a8A9IcSdp1K8H6x8fbOy06t2VsZHhMHf-1x7Y/edit?usp=sharing"",""แผน!HJ84"")"),0)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5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IFERROR(__xludf.DUMMYFUNCTION("IMPORTRANGE(""https://docs.google.com/spreadsheets/d/1eHaY18a8A9IcSdp1K8H6x8fbOy06t2VsZHhMHf-1x7Y/edit?usp=sharing"",""แผน!HK84"")"),0)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5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5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5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5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5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5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5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5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5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5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5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5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5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5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5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21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569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IFERROR(__xludf.DUMMYFUNCTION("IMPORTRANGE(""https://docs.google.com/spreadsheets/d/1eHaY18a8A9IcSdp1K8H6x8fbOy06t2VsZHhMHf-1x7Y/edit?usp=sharing"",""แผน!HL84"")"),21)</f>
        <v>21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5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IFERROR(__xludf.DUMMYFUNCTION("IMPORTRANGE(""https://docs.google.com/spreadsheets/d/1eHaY18a8A9IcSdp1K8H6x8fbOy06t2VsZHhMHf-1x7Y/edit?usp=sharing"",""แผน!HM84"")"),0)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5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5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5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5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5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5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5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5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5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5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5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5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5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5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5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5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5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569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5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5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5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5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5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5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5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5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5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5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5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5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5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5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5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545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651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550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5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548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548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5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IFERROR(__xludf.DUMMYFUNCTION("IMPORTRANGE(""https://docs.google.com/spreadsheets/d/1-uDff_7J0KD5mKrp0Vvzr7lt3OU09vwQwhkpOPPYv2Y/edit?usp=sharing"",""งบพรบ!HU84"")"),0)</f>
        <v>0</v>
      </c>
      <c r="M498" s="47">
        <f ca="1">IFERROR(__xludf.DUMMYFUNCTION("IMPORTRANGE(""https://docs.google.com/spreadsheets/d/1-uDff_7J0KD5mKrp0Vvzr7lt3OU09vwQwhkpOPPYv2Y/edit?usp=sharing"",""งบพรบ!HZ84"")"),0)</f>
        <v>0</v>
      </c>
      <c r="N498" s="47">
        <f ca="1">IFERROR(__xludf.DUMMYFUNCTION("IMPORTRANGE(""https://docs.google.com/spreadsheets/d/1-uDff_7J0KD5mKrp0Vvzr7lt3OU09vwQwhkpOPPYv2Y/edit?usp=sharing"",""งบพรบ!IB84"")"),0)</f>
        <v>0</v>
      </c>
      <c r="O498" s="47">
        <f ca="1">IF(L498&gt;0,N498*100/L498,0)</f>
        <v>0</v>
      </c>
      <c r="P498" s="47">
        <f ca="1">IF(M498&gt;0,N498*100/M498,0)</f>
        <v>0</v>
      </c>
      <c r="Q498" s="548">
        <f ca="1">IFERROR(__xludf.DUMMYFUNCTION("IMPORTRANGE(""https://docs.google.com/spreadsheets/d/1ItG2mGa2ceCfYo0BwxsXqNm01IGEUdYcSSLTEv9YCik/edit?usp=sharing"",""เบิกจ่ายกองทุน!AD84"")"),0)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IFERROR(__xludf.DUMMYFUNCTION("IMPORTRANGE(""https://docs.google.com/spreadsheets/d/1ItG2mGa2ceCfYo0BwxsXqNm01IGEUdYcSSLTEv9YCik/edit?usp=sharing"",""เบิกจ่ายกองทุน!AF84"")"),0)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548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5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IFERROR(__xludf.DUMMYFUNCTION("IMPORTRANGE(""https://docs.google.com/spreadsheets/d/1-uDff_7J0KD5mKrp0Vvzr7lt3OU09vwQwhkpOPPYv2Y/edit?usp=sharing"",""งบพรบ!HX84"")"),0)</f>
        <v>0</v>
      </c>
      <c r="M501" s="47">
        <f ca="1">IFERROR(__xludf.DUMMYFUNCTION("IMPORTRANGE(""https://docs.google.com/spreadsheets/d/1-uDff_7J0KD5mKrp0Vvzr7lt3OU09vwQwhkpOPPYv2Y/edit?usp=sharing"",""งบพรบ!IA84"")"),0)</f>
        <v>0</v>
      </c>
      <c r="N501" s="47">
        <f ca="1">IFERROR(__xludf.DUMMYFUNCTION("IMPORTRANGE(""https://docs.google.com/spreadsheets/d/1-uDff_7J0KD5mKrp0Vvzr7lt3OU09vwQwhkpOPPYv2Y/edit?usp=sharing"",""งบพรบ!IC84"")"),0)</f>
        <v>0</v>
      </c>
      <c r="O501" s="47">
        <f ca="1">IF(L501&gt;0,N501*100/L501,0)</f>
        <v>0</v>
      </c>
      <c r="P501" s="47">
        <f ca="1">IF(M501&gt;0,N501*100/M501,0)</f>
        <v>0</v>
      </c>
      <c r="Q501" s="548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558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IFERROR(__xludf.DUMMYFUNCTION("IMPORTRANGE(""https://docs.google.com/spreadsheets/d/1eHaY18a8A9IcSdp1K8H6x8fbOy06t2VsZHhMHf-1x7Y/edit?usp=sharing"",""แผน!GX84"")"),0)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5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IFERROR(__xludf.DUMMYFUNCTION("IMPORTRANGE(""https://docs.google.com/spreadsheets/d/1eHaY18a8A9IcSdp1K8H6x8fbOy06t2VsZHhMHf-1x7Y/edit?usp=sharing"",""แผน!GY84"")"),0)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5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IFERROR(__xludf.DUMMYFUNCTION("IMPORTRANGE(""https://docs.google.com/spreadsheets/d/1eHaY18a8A9IcSdp1K8H6x8fbOy06t2VsZHhMHf-1x7Y/edit?usp=sharing"",""แผน!GZ84"")"),0)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5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IFERROR(__xludf.DUMMYFUNCTION("IMPORTRANGE(""https://docs.google.com/spreadsheets/d/1eHaY18a8A9IcSdp1K8H6x8fbOy06t2VsZHhMHf-1x7Y/edit?usp=sharing"",""แผน!HA84"")"),0)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5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IFERROR(__xludf.DUMMYFUNCTION("IMPORTRANGE(""https://docs.google.com/spreadsheets/d/1eHaY18a8A9IcSdp1K8H6x8fbOy06t2VsZHhMHf-1x7Y/edit?usp=sharing"",""แผน!HB84"")"),0)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5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5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IFERROR(__xludf.DUMMYFUNCTION("IMPORTRANGE(""https://docs.google.com/spreadsheets/d/1eHaY18a8A9IcSdp1K8H6x8fbOy06t2VsZHhMHf-1x7Y/edit?usp=sharing"",""แผน!HC84"")"),0)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545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643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636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592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550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5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548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548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5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ca="1">IF(L518&gt;0,N518*100/L518,0)</f>
        <v>0</v>
      </c>
      <c r="P518" s="47">
        <f ca="1">IF(M518&gt;0,N518*100/M518,0)</f>
        <v>0</v>
      </c>
      <c r="Q518" s="548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548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5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ca="1">IF(L521&gt;0,N521*100/L521,0)</f>
        <v>0</v>
      </c>
      <c r="P521" s="47">
        <f ca="1">IF(M521&gt;0,N521*100/M521,0)</f>
        <v>0</v>
      </c>
      <c r="Q521" s="548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5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5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5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590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590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590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590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590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590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590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562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592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550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5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548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548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5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IFERROR(__xludf.DUMMYFUNCTION("IMPORTRANGE(""https://docs.google.com/spreadsheets/d/1-uDff_7J0KD5mKrp0Vvzr7lt3OU09vwQwhkpOPPYv2Y/edit?usp=sharing"",""งบพรบ!FW84"")"),0)</f>
        <v>0</v>
      </c>
      <c r="M539" s="47">
        <f ca="1">IFERROR(__xludf.DUMMYFUNCTION("IMPORTRANGE(""https://docs.google.com/spreadsheets/d/1-uDff_7J0KD5mKrp0Vvzr7lt3OU09vwQwhkpOPPYv2Y/edit?usp=sharing"",""งบพรบ!GB84"")"),0)</f>
        <v>0</v>
      </c>
      <c r="N539" s="47">
        <f ca="1">IFERROR(__xludf.DUMMYFUNCTION("IMPORTRANGE(""https://docs.google.com/spreadsheets/d/1-uDff_7J0KD5mKrp0Vvzr7lt3OU09vwQwhkpOPPYv2Y/edit?usp=sharing"",""งบพรบ!GD84"")"),0)</f>
        <v>0</v>
      </c>
      <c r="O539" s="47">
        <f ca="1">IF(L539&gt;0,N539*100/L539,0)</f>
        <v>0</v>
      </c>
      <c r="P539" s="47">
        <f ca="1">IF(M539&gt;0,N539*100/M539,0)</f>
        <v>0</v>
      </c>
      <c r="Q539" s="548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548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5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IFERROR(__xludf.DUMMYFUNCTION("IMPORTRANGE(""https://docs.google.com/spreadsheets/d/1-uDff_7J0KD5mKrp0Vvzr7lt3OU09vwQwhkpOPPYv2Y/edit?usp=sharing"",""งบพรบ!FZ84"")"),0)</f>
        <v>0</v>
      </c>
      <c r="M542" s="47">
        <f ca="1">IFERROR(__xludf.DUMMYFUNCTION("IMPORTRANGE(""https://docs.google.com/spreadsheets/d/1-uDff_7J0KD5mKrp0Vvzr7lt3OU09vwQwhkpOPPYv2Y/edit?usp=sharing"",""งบพรบ!GC84"")"),0)</f>
        <v>0</v>
      </c>
      <c r="N542" s="47">
        <f ca="1">IFERROR(__xludf.DUMMYFUNCTION("IMPORTRANGE(""https://docs.google.com/spreadsheets/d/1-uDff_7J0KD5mKrp0Vvzr7lt3OU09vwQwhkpOPPYv2Y/edit?usp=sharing"",""งบพรบ!GE84"")"),0)</f>
        <v>0</v>
      </c>
      <c r="O542" s="47">
        <f ca="1">IF(L542&gt;0,N542*100/L542,0)</f>
        <v>0</v>
      </c>
      <c r="P542" s="47">
        <f ca="1">IF(M542&gt;0,N542*100/M542,0)</f>
        <v>0</v>
      </c>
      <c r="Q542" s="548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5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590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590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590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590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590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590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590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590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590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562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592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550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5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548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548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5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IFERROR(__xludf.DUMMYFUNCTION("IMPORTRANGE(""https://docs.google.com/spreadsheets/d/1-uDff_7J0KD5mKrp0Vvzr7lt3OU09vwQwhkpOPPYv2Y/edit?usp=sharing"",""งบพรบ!GG84"")"),0)</f>
        <v>0</v>
      </c>
      <c r="M560" s="47">
        <f ca="1">IFERROR(__xludf.DUMMYFUNCTION("IMPORTRANGE(""https://docs.google.com/spreadsheets/d/1-uDff_7J0KD5mKrp0Vvzr7lt3OU09vwQwhkpOPPYv2Y/edit?usp=sharing"",""งบพรบ!GL84"")"),0)</f>
        <v>0</v>
      </c>
      <c r="N560" s="47">
        <f ca="1">IFERROR(__xludf.DUMMYFUNCTION("IMPORTRANGE(""https://docs.google.com/spreadsheets/d/1-uDff_7J0KD5mKrp0Vvzr7lt3OU09vwQwhkpOPPYv2Y/edit?usp=sharing"",""งบพรบ!GN84"")"),0)</f>
        <v>0</v>
      </c>
      <c r="O560" s="47">
        <f ca="1">IF(L560&gt;0,N560*100/L560,0)</f>
        <v>0</v>
      </c>
      <c r="P560" s="47">
        <f ca="1">IF(M560&gt;0,N560*100/M560,0)</f>
        <v>0</v>
      </c>
      <c r="Q560" s="548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548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5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IFERROR(__xludf.DUMMYFUNCTION("IMPORTRANGE(""https://docs.google.com/spreadsheets/d/1-uDff_7J0KD5mKrp0Vvzr7lt3OU09vwQwhkpOPPYv2Y/edit?usp=sharing"",""งบพรบ!GJ84"")"),0)</f>
        <v>0</v>
      </c>
      <c r="M563" s="47">
        <f ca="1">IFERROR(__xludf.DUMMYFUNCTION("IMPORTRANGE(""https://docs.google.com/spreadsheets/d/1-uDff_7J0KD5mKrp0Vvzr7lt3OU09vwQwhkpOPPYv2Y/edit?usp=sharing"",""งบพรบ!GM84"")"),0)</f>
        <v>0</v>
      </c>
      <c r="N563" s="47">
        <f ca="1">IFERROR(__xludf.DUMMYFUNCTION("IMPORTRANGE(""https://docs.google.com/spreadsheets/d/1-uDff_7J0KD5mKrp0Vvzr7lt3OU09vwQwhkpOPPYv2Y/edit?usp=sharing"",""งบพรบ!GO84"")"),0)</f>
        <v>0</v>
      </c>
      <c r="O563" s="47">
        <f ca="1">IF(L563&gt;0,N563*100/L563,0)</f>
        <v>0</v>
      </c>
      <c r="P563" s="47">
        <f ca="1">IF(M563&gt;0,N563*100/M563,0)</f>
        <v>0</v>
      </c>
      <c r="Q563" s="548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5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590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590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590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590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590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590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590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590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590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562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592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550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5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548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548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5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IFERROR(__xludf.DUMMYFUNCTION("IMPORTRANGE(""https://docs.google.com/spreadsheets/d/1-uDff_7J0KD5mKrp0Vvzr7lt3OU09vwQwhkpOPPYv2Y/edit?usp=sharing"",""งบพรบ!GQ84"")"),0)</f>
        <v>0</v>
      </c>
      <c r="M581" s="47">
        <f ca="1">IFERROR(__xludf.DUMMYFUNCTION("IMPORTRANGE(""https://docs.google.com/spreadsheets/d/1-uDff_7J0KD5mKrp0Vvzr7lt3OU09vwQwhkpOPPYv2Y/edit?usp=sharing"",""งบพรบ!GV84"")"),0)</f>
        <v>0</v>
      </c>
      <c r="N581" s="47">
        <f ca="1">IFERROR(__xludf.DUMMYFUNCTION("IMPORTRANGE(""https://docs.google.com/spreadsheets/d/1-uDff_7J0KD5mKrp0Vvzr7lt3OU09vwQwhkpOPPYv2Y/edit?usp=sharing"",""งบพรบ!GX84"")"),0)</f>
        <v>0</v>
      </c>
      <c r="O581" s="47">
        <f ca="1">IF(L581&gt;0,N581*100/L581,0)</f>
        <v>0</v>
      </c>
      <c r="P581" s="47">
        <f ca="1">IF(M581&gt;0,N581*100/M581,0)</f>
        <v>0</v>
      </c>
      <c r="Q581" s="548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548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5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IFERROR(__xludf.DUMMYFUNCTION("IMPORTRANGE(""https://docs.google.com/spreadsheets/d/1-uDff_7J0KD5mKrp0Vvzr7lt3OU09vwQwhkpOPPYv2Y/edit?usp=sharing"",""งบพรบ!GT84"")"),0)</f>
        <v>0</v>
      </c>
      <c r="M584" s="47">
        <f ca="1">IFERROR(__xludf.DUMMYFUNCTION("IMPORTRANGE(""https://docs.google.com/spreadsheets/d/1-uDff_7J0KD5mKrp0Vvzr7lt3OU09vwQwhkpOPPYv2Y/edit?usp=sharing"",""งบพรบ!GW84"")"),0)</f>
        <v>0</v>
      </c>
      <c r="N584" s="47">
        <f ca="1">IFERROR(__xludf.DUMMYFUNCTION("IMPORTRANGE(""https://docs.google.com/spreadsheets/d/1-uDff_7J0KD5mKrp0Vvzr7lt3OU09vwQwhkpOPPYv2Y/edit?usp=sharing"",""งบพรบ!GY84"")"),0)</f>
        <v>0</v>
      </c>
      <c r="O584" s="47">
        <f ca="1">IF(L584&gt;0,N584*100/L584,0)</f>
        <v>0</v>
      </c>
      <c r="P584" s="47">
        <f ca="1">IF(M584&gt;0,N584*100/M584,0)</f>
        <v>0</v>
      </c>
      <c r="Q584" s="548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5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590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590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590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590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590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590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590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590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590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562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782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583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583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550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5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548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548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5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IFERROR(__xludf.DUMMYFUNCTION("IMPORTRANGE(""https://docs.google.com/spreadsheets/d/1-uDff_7J0KD5mKrp0Vvzr7lt3OU09vwQwhkpOPPYv2Y/edit?usp=sharing"",""งบพรบ!HK84"")"),0)</f>
        <v>0</v>
      </c>
      <c r="M604" s="47">
        <f ca="1">IFERROR(__xludf.DUMMYFUNCTION("IMPORTRANGE(""https://docs.google.com/spreadsheets/d/1-uDff_7J0KD5mKrp0Vvzr7lt3OU09vwQwhkpOPPYv2Y/edit?usp=sharing"",""งบพรบ!HP84"")"),0)</f>
        <v>0</v>
      </c>
      <c r="N604" s="47">
        <f ca="1">IFERROR(__xludf.DUMMYFUNCTION("IMPORTRANGE(""https://docs.google.com/spreadsheets/d/1-uDff_7J0KD5mKrp0Vvzr7lt3OU09vwQwhkpOPPYv2Y/edit?usp=sharing"",""งบพรบ!HR84"")"),0)</f>
        <v>0</v>
      </c>
      <c r="O604" s="47">
        <f ca="1">IF(L604&gt;0,N604*100/L604,0)</f>
        <v>0</v>
      </c>
      <c r="P604" s="47">
        <f ca="1">IF(M604&gt;0,N604*100/M604,0)</f>
        <v>0</v>
      </c>
      <c r="Q604" s="548">
        <f ca="1">IFERROR(__xludf.DUMMYFUNCTION("IMPORTRANGE(""https://docs.google.com/spreadsheets/d/1ItG2mGa2ceCfYo0BwxsXqNm01IGEUdYcSSLTEv9YCik/edit?usp=sharing"",""เบิกจ่ายกองทุน!AV84"")"),0)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IFERROR(__xludf.DUMMYFUNCTION("IMPORTRANGE(""https://docs.google.com/spreadsheets/d/1ItG2mGa2ceCfYo0BwxsXqNm01IGEUdYcSSLTEv9YCik/edit?usp=sharing"",""เบิกจ่ายกองทุน!AW84"")"),0)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IFERROR(__xludf.DUMMYFUNCTION("IMPORTRANGE(""https://docs.google.com/spreadsheets/d/1ItG2mGa2ceCfYo0BwxsXqNm01IGEUdYcSSLTEv9YCik/edit?usp=sharing"",""เบิกจ่ายกองทุน!AX84"")"),0)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548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5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IFERROR(__xludf.DUMMYFUNCTION("IMPORTRANGE(""https://docs.google.com/spreadsheets/d/1-uDff_7J0KD5mKrp0Vvzr7lt3OU09vwQwhkpOPPYv2Y/edit?usp=sharing"",""งบพรบ!HN84"")"),0)</f>
        <v>0</v>
      </c>
      <c r="M607" s="47">
        <f ca="1">IFERROR(__xludf.DUMMYFUNCTION("IMPORTRANGE(""https://docs.google.com/spreadsheets/d/1-uDff_7J0KD5mKrp0Vvzr7lt3OU09vwQwhkpOPPYv2Y/edit?usp=sharing"",""งบพรบ!HQ84"")"),0)</f>
        <v>0</v>
      </c>
      <c r="N607" s="47">
        <f ca="1">IFERROR(__xludf.DUMMYFUNCTION("IMPORTRANGE(""https://docs.google.com/spreadsheets/d/1-uDff_7J0KD5mKrp0Vvzr7lt3OU09vwQwhkpOPPYv2Y/edit?usp=sharing"",""งบพรบ!HS84"")"),0)</f>
        <v>0</v>
      </c>
      <c r="O607" s="47">
        <f ca="1">IF(L607&gt;0,N607*100/L607,0)</f>
        <v>0</v>
      </c>
      <c r="P607" s="47">
        <f ca="1">IF(M607&gt;0,N607*100/M607,0)</f>
        <v>0</v>
      </c>
      <c r="Q607" s="548">
        <f ca="1">IFERROR(__xludf.DUMMYFUNCTION("IMPORTRANGE(""https://docs.google.com/spreadsheets/d/1ItG2mGa2ceCfYo0BwxsXqNm01IGEUdYcSSLTEv9YCik/edit?usp=sharing"",""เบิกจ่ายกองทุน!AY84"")"),0)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IFERROR(__xludf.DUMMYFUNCTION("IMPORTRANGE(""https://docs.google.com/spreadsheets/d/1ItG2mGa2ceCfYo0BwxsXqNm01IGEUdYcSSLTEv9YCik/edit?usp=sharing"",""เบิกจ่ายกองทุน!AZ84"")"),0)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IFERROR(__xludf.DUMMYFUNCTION("IMPORTRANGE(""https://docs.google.com/spreadsheets/d/1ItG2mGa2ceCfYo0BwxsXqNm01IGEUdYcSSLTEv9YCik/edit?usp=sharing"",""เบิกจ่ายกองทุน!BA84"")"),0)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5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5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5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5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3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571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55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569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550">
        <f ca="1">Q617+Q618</f>
        <v>6700</v>
      </c>
      <c r="R616" s="132">
        <f ca="1">R617+R618</f>
        <v>6700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5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548">
        <f ca="1">Q621+Q624</f>
        <v>6700</v>
      </c>
      <c r="R618" s="47">
        <f ca="1">R621+R624</f>
        <v>6700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548">
        <f ca="1">Q620+Q621</f>
        <v>6700</v>
      </c>
      <c r="R619" s="47">
        <f ca="1">R620+R621</f>
        <v>6700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5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548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IFERROR(__xludf.DUMMYFUNCTION("IMPORTRANGE(""https://docs.google.com/spreadsheets/d/1ItG2mGa2ceCfYo0BwxsXqNm01IGEUdYcSSLTEv9YCik/edit?usp=sharing"",""เบิกจ่ายกองทุน!G84"")"),6700)</f>
        <v>6700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548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5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548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558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IFERROR(__xludf.DUMMYFUNCTION("IMPORTRANGE(""https://docs.google.com/spreadsheets/d/1eHaY18a8A9IcSdp1K8H6x8fbOy06t2VsZHhMHf-1x7Y/edit?usp=sharing"",""แผน!ID84"")"),50)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558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IFERROR(__xludf.DUMMYFUNCTION("IMPORTRANGE(""https://docs.google.com/spreadsheets/d/1eHaY18a8A9IcSdp1K8H6x8fbOy06t2VsZHhMHf-1x7Y/edit?usp=sharing"",""แผน!IC84"")"),0)</f>
        <v>0</v>
      </c>
      <c r="J627" s="167">
        <v>0</v>
      </c>
      <c r="K627" s="47">
        <f ca="1">IF(I627&gt;0,(J628*100)/I627,0)</f>
        <v>0</v>
      </c>
      <c r="L627" s="558"/>
      <c r="M627" s="136"/>
      <c r="N627" s="136"/>
      <c r="O627" s="136"/>
      <c r="P627" s="136"/>
      <c r="Q627" s="558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8</v>
      </c>
      <c r="K628" s="47">
        <f ca="1">IF(I628&gt;0,(#REF!*100)/I628,0)</f>
        <v>0</v>
      </c>
      <c r="L628" s="558"/>
      <c r="M628" s="136"/>
      <c r="N628" s="136"/>
      <c r="O628" s="136"/>
      <c r="P628" s="136"/>
      <c r="Q628" s="558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558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558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558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558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558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558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IFERROR(__xludf.DUMMYFUNCTION("IMPORTRANGE(""https://docs.google.com/spreadsheets/d/1eHaY18a8A9IcSdp1K8H6x8fbOy06t2VsZHhMHf-1x7Y/edit?usp=sharing"",""แผน!IE84"")"),0)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558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558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558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558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558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558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569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550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5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548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548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5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548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548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5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548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5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IFERROR(__xludf.DUMMYFUNCTION("IMPORTRANGE(""https://docs.google.com/spreadsheets/d/1eHaY18a8A9IcSdp1K8H6x8fbOy06t2VsZHhMHf-1x7Y/edit?usp=sharing"",""แผน!IF84"")"),0)</f>
        <v>0</v>
      </c>
      <c r="J652" s="15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5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IFERROR(__xludf.DUMMYFUNCTION("IMPORTRANGE(""https://docs.google.com/spreadsheets/d/1eHaY18a8A9IcSdp1K8H6x8fbOy06t2VsZHhMHf-1x7Y/edit?usp=sharing"",""แผน!IG84"")"),0)</f>
        <v>0</v>
      </c>
      <c r="J653" s="15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5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IFERROR(__xludf.DUMMYFUNCTION("IMPORTRANGE(""https://docs.google.com/spreadsheets/d/1eHaY18a8A9IcSdp1K8H6x8fbOy06t2VsZHhMHf-1x7Y/edit?usp=sharing"",""แผน!IH84"")"),0)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5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5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5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IFERROR(__xludf.DUMMYFUNCTION("IMPORTRANGE(""https://docs.google.com/spreadsheets/d/1eHaY18a8A9IcSdp1K8H6x8fbOy06t2VsZHhMHf-1x7Y/edit?usp=sharing"",""แผน!II84"")"),0)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5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5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5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IFERROR(__xludf.DUMMYFUNCTION("IMPORTRANGE(""https://docs.google.com/spreadsheets/d/1eHaY18a8A9IcSdp1K8H6x8fbOy06t2VsZHhMHf-1x7Y/edit?usp=sharing"",""แผน!IJ84"")"),0)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5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IFERROR(__xludf.DUMMYFUNCTION("IMPORTRANGE(""https://docs.google.com/spreadsheets/d/1eHaY18a8A9IcSdp1K8H6x8fbOy06t2VsZHhMHf-1x7Y/edit?usp=sharing"",""แผน!IK84"")"),0)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5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567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567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567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567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567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567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567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567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567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546"/>
      <c r="M671" s="46"/>
      <c r="N671" s="479"/>
      <c r="O671" s="46"/>
      <c r="P671" s="46"/>
      <c r="Q671" s="5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567"/>
      <c r="M672" s="46"/>
      <c r="N672" s="479"/>
      <c r="O672" s="46"/>
      <c r="P672" s="46"/>
      <c r="Q672" s="567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IFERROR(__xludf.DUMMYFUNCTION("IMPORTRANGE(""https://docs.google.com/spreadsheets/d/1eHaY18a8A9IcSdp1K8H6x8fbOy06t2VsZHhMHf-1x7Y/edit?usp=sharing"",""แผน!IL84"")"),0)</f>
        <v>0</v>
      </c>
      <c r="J673" s="15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567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IFERROR(__xludf.DUMMYFUNCTION("IMPORTRANGE(""https://docs.google.com/spreadsheets/d/1eHaY18a8A9IcSdp1K8H6x8fbOy06t2VsZHhMHf-1x7Y/edit?usp=sharing"",""แผน!IM84"")"),0)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567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IFERROR(__xludf.DUMMYFUNCTION("IMPORTRANGE(""https://docs.google.com/spreadsheets/d/1eHaY18a8A9IcSdp1K8H6x8fbOy06t2VsZHhMHf-1x7Y/edit?usp=sharing"",""แผน!IN84"")"),0)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5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IFERROR(__xludf.DUMMYFUNCTION("IMPORTRANGE(""https://docs.google.com/spreadsheets/d/1eHaY18a8A9IcSdp1K8H6x8fbOy06t2VsZHhMHf-1x7Y/edit?usp=sharing"",""แผน!IO84"")"),0)</f>
        <v>0</v>
      </c>
      <c r="J676" s="15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5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567"/>
      <c r="M677" s="46"/>
      <c r="N677" s="479"/>
      <c r="O677" s="46"/>
      <c r="P677" s="46"/>
      <c r="Q677" s="567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IFERROR(__xludf.DUMMYFUNCTION("IMPORTRANGE(""https://docs.google.com/spreadsheets/d/1eHaY18a8A9IcSdp1K8H6x8fbOy06t2VsZHhMHf-1x7Y/edit?usp=sharing"",""แผน!IP84"")"),0)</f>
        <v>0</v>
      </c>
      <c r="J678" s="15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567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IFERROR(__xludf.DUMMYFUNCTION("IMPORTRANGE(""https://docs.google.com/spreadsheets/d/1eHaY18a8A9IcSdp1K8H6x8fbOy06t2VsZHhMHf-1x7Y/edit?usp=sharing"",""แผน!IQ84"")"),0)</f>
        <v>0</v>
      </c>
      <c r="J679" s="15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5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567"/>
      <c r="M680" s="46"/>
      <c r="N680" s="479"/>
      <c r="O680" s="46"/>
      <c r="P680" s="46"/>
      <c r="Q680" s="567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IFERROR(__xludf.DUMMYFUNCTION("IMPORTRANGE(""https://docs.google.com/spreadsheets/d/1eHaY18a8A9IcSdp1K8H6x8fbOy06t2VsZHhMHf-1x7Y/edit?usp=sharing"",""แผน!IR84"")"),0)</f>
        <v>0</v>
      </c>
      <c r="J681" s="15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567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IFERROR(__xludf.DUMMYFUNCTION("IMPORTRANGE(""https://docs.google.com/spreadsheets/d/1eHaY18a8A9IcSdp1K8H6x8fbOy06t2VsZHhMHf-1x7Y/edit?usp=sharing"",""แผน!IS84"")"),0)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5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567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567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567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567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567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566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31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55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550">
        <f ca="1">Q691+Q692</f>
        <v>135150</v>
      </c>
      <c r="R690" s="132">
        <f ca="1">R691+R692</f>
        <v>135150</v>
      </c>
      <c r="S690" s="132">
        <f ca="1">S691+S692</f>
        <v>59111.47</v>
      </c>
      <c r="T690" s="132">
        <f ca="1">IF(Q690&gt;0,S690*100/Q690,0)</f>
        <v>43.737676655567888</v>
      </c>
      <c r="U690" s="132">
        <f ca="1">IF(R690&gt;0,S690*100/R690,0)</f>
        <v>43.737676655567888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5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548">
        <f ca="1">Q695+Q698</f>
        <v>135150</v>
      </c>
      <c r="R692" s="47">
        <f ca="1">R695+R698</f>
        <v>135150</v>
      </c>
      <c r="S692" s="47">
        <f ca="1">S695+S698</f>
        <v>59111.47</v>
      </c>
      <c r="T692" s="47">
        <f ca="1">IF(Q692&gt;0,S692*100/Q692,0)</f>
        <v>43.737676655567888</v>
      </c>
      <c r="U692" s="47">
        <f ca="1">IF(R692&gt;0,S692*100/R692,0)</f>
        <v>43.737676655567888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548">
        <f ca="1">Q694+Q695</f>
        <v>135150</v>
      </c>
      <c r="R693" s="47">
        <f ca="1">R694+R695</f>
        <v>135150</v>
      </c>
      <c r="S693" s="47">
        <f ca="1">S694+S695</f>
        <v>59111.47</v>
      </c>
      <c r="T693" s="47">
        <f ca="1">IF(Q693&gt;0,S693*100/Q693,0)</f>
        <v>43.737676655567888</v>
      </c>
      <c r="U693" s="47">
        <f ca="1">IF(R693&gt;0,S693*100/R693,0)</f>
        <v>43.737676655567888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5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548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5" s="47">
        <f ca="1">IFERROR(__xludf.DUMMYFUNCTION("IMPORTRANGE(""https://docs.google.com/spreadsheets/d/1ItG2mGa2ceCfYo0BwxsXqNm01IGEUdYcSSLTEv9YCik/edit?usp=sharing"",""เบิกจ่ายกองทุน!N84"")"),59111.47)</f>
        <v>59111.47</v>
      </c>
      <c r="T695" s="47">
        <f ca="1">IF(Q695&gt;0,S695*100/Q695,0)</f>
        <v>43.737676655567888</v>
      </c>
      <c r="U695" s="47">
        <f ca="1">IF(R695&gt;0,S695*100/R695,0)</f>
        <v>43.737676655567888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548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5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548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5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IFERROR(__xludf.DUMMYFUNCTION("IMPORTRANGE(""https://docs.google.com/spreadsheets/d/1eHaY18a8A9IcSdp1K8H6x8fbOy06t2VsZHhMHf-1x7Y/edit?usp=sharing"",""แผน!LC84"")"),0)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558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34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558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558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IFERROR(__xludf.DUMMYFUNCTION("IMPORTRANGE(""https://docs.google.com/spreadsheets/d/1eHaY18a8A9IcSdp1K8H6x8fbOy06t2VsZHhMHf-1x7Y/edit?usp=sharing"",""แผน!LJ84"")"),31)</f>
        <v>31</v>
      </c>
      <c r="J703" s="152">
        <f ca="1">IFERROR(__xludf.DUMMYFUNCTION("IMPORTRANGE(""https://docs.google.com/spreadsheets/d/1tdoBKaGub7dwA3U6UFTqxio9LNnvDCQjHKmttSEBsFQ/edit?usp=sharing"",""จัดที่ดิน!AP84"")"),0)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558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IFERROR(__xludf.DUMMYFUNCTION("IMPORTRANGE(""https://docs.google.com/spreadsheets/d/1tdoBKaGub7dwA3U6UFTqxio9LNnvDCQjHKmttSEBsFQ/edit?usp=sharing"",""จัดที่ดิน!AQ84"")"),0)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558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IFERROR(__xludf.DUMMYFUNCTION("IMPORTRANGE(""https://docs.google.com/spreadsheets/d/1eHaY18a8A9IcSdp1K8H6x8fbOy06t2VsZHhMHf-1x7Y/edit?usp=sharing"",""แผน!LK84"")"),3)</f>
        <v>3</v>
      </c>
      <c r="J705" s="152">
        <f ca="1">IFERROR(__xludf.DUMMYFUNCTION("IMPORTRANGE(""https://docs.google.com/spreadsheets/d/1tdoBKaGub7dwA3U6UFTqxio9LNnvDCQjHKmttSEBsFQ/edit?usp=sharing"",""จัดที่ดิน!AR84"")"),0)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558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558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IFERROR(__xludf.DUMMYFUNCTION("IMPORTRANGE(""https://docs.google.com/spreadsheets/d/1eHaY18a8A9IcSdp1K8H6x8fbOy06t2VsZHhMHf-1x7Y/edit?usp=sharing"",""แผน!LJ84"")"),31)</f>
        <v>31</v>
      </c>
      <c r="J707" s="152">
        <f ca="1">IFERROR(__xludf.DUMMYFUNCTION("IMPORTRANGE(""https://docs.google.com/spreadsheets/d/1tdoBKaGub7dwA3U6UFTqxio9LNnvDCQjHKmttSEBsFQ/edit?usp=sharing"",""จัดที่ดิน!BN84"")"),0)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558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IFERROR(__xludf.DUMMYFUNCTION("IMPORTRANGE(""https://docs.google.com/spreadsheets/d/1tdoBKaGub7dwA3U6UFTqxio9LNnvDCQjHKmttSEBsFQ/edit?usp=sharing"",""จัดที่ดิน!BO84"")"),0)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558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IFERROR(__xludf.DUMMYFUNCTION("IMPORTRANGE(""https://docs.google.com/spreadsheets/d/1eHaY18a8A9IcSdp1K8H6x8fbOy06t2VsZHhMHf-1x7Y/edit?usp=sharing"",""แผน!LK84"")"),3)</f>
        <v>3</v>
      </c>
      <c r="J709" s="152">
        <f ca="1">IFERROR(__xludf.DUMMYFUNCTION("IMPORTRANGE(""https://docs.google.com/spreadsheets/d/1tdoBKaGub7dwA3U6UFTqxio9LNnvDCQjHKmttSEBsFQ/edit?usp=sharing"",""จัดที่ดิน!BP84"")"),2)</f>
        <v>2</v>
      </c>
      <c r="K709" s="47">
        <f ca="1">IF(I709&gt;0,J709*100/I709,0)</f>
        <v>66.666666666666671</v>
      </c>
      <c r="L709" s="546"/>
      <c r="M709" s="46"/>
      <c r="N709" s="46"/>
      <c r="O709" s="46"/>
      <c r="P709" s="46"/>
      <c r="Q709" s="5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5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562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55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55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550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5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548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548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5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548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548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5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548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558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5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545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IFERROR(__xludf.DUMMYFUNCTION("IMPORTRANGE(""https://docs.google.com/spreadsheets/d/1eHaY18a8A9IcSdp1K8H6x8fbOy06t2VsZHhMHf-1x7Y/edit?usp=sharing"",""แผน!GA84"")"),11)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55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IFERROR(__xludf.DUMMYFUNCTION("IMPORTRANGE(""https://docs.google.com/spreadsheets/d/1eHaY18a8A9IcSdp1K8H6x8fbOy06t2VsZHhMHf-1x7Y/edit?usp=sharing"",""แผน!FZ84"")"),100)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55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550">
        <f ca="1">Q729+Q730</f>
        <v>111882</v>
      </c>
      <c r="R728" s="132">
        <f ca="1">R729+R730</f>
        <v>111882</v>
      </c>
      <c r="S728" s="132">
        <f ca="1">S729+S730</f>
        <v>23662</v>
      </c>
      <c r="T728" s="132">
        <f ca="1">IF(Q728&gt;0,S728*100/Q728,0)</f>
        <v>21.149067767826818</v>
      </c>
      <c r="U728" s="132">
        <f ca="1">IF(R728&gt;0,S728*100/R728,0)</f>
        <v>21.149067767826818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5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548">
        <f ca="1">Q733+Q736</f>
        <v>111882</v>
      </c>
      <c r="R730" s="47">
        <f ca="1">R733+R736</f>
        <v>111882</v>
      </c>
      <c r="S730" s="47">
        <f ca="1">S733+S736</f>
        <v>23662</v>
      </c>
      <c r="T730" s="47">
        <f ca="1">IF(Q730&gt;0,S730*100/Q730,0)</f>
        <v>21.149067767826818</v>
      </c>
      <c r="U730" s="47">
        <f ca="1">IF(R730&gt;0,S730*100/R730,0)</f>
        <v>21.149067767826818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548">
        <f ca="1">Q732+Q733</f>
        <v>111882</v>
      </c>
      <c r="R731" s="47">
        <f ca="1">R732+R733</f>
        <v>111882</v>
      </c>
      <c r="S731" s="47">
        <f ca="1">S732+S733</f>
        <v>23662</v>
      </c>
      <c r="T731" s="47">
        <f ca="1">IF(Q731&gt;0,S731*100/Q731,0)</f>
        <v>21.149067767826818</v>
      </c>
      <c r="U731" s="47">
        <f ca="1">IF(R731&gt;0,S731*100/R731,0)</f>
        <v>21.149067767826818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5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548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IFERROR(__xludf.DUMMYFUNCTION("IMPORTRANGE(""https://docs.google.com/spreadsheets/d/1ItG2mGa2ceCfYo0BwxsXqNm01IGEUdYcSSLTEv9YCik/edit?usp=sharing"",""เบิกจ่ายกองทุน!Q84"")"),23662)</f>
        <v>23662</v>
      </c>
      <c r="T733" s="47">
        <f ca="1">IF(Q733&gt;0,S733*100/Q733,0)</f>
        <v>21.149067767826818</v>
      </c>
      <c r="U733" s="47">
        <f ca="1">IF(R733&gt;0,S733*100/R733,0)</f>
        <v>21.149067767826818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548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5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548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5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5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5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IFERROR(__xludf.DUMMYFUNCTION("IMPORTRANGE(""https://docs.google.com/spreadsheets/d/1eHaY18a8A9IcSdp1K8H6x8fbOy06t2VsZHhMHf-1x7Y/edit?usp=sharing"",""แผน!GB84"")"),80)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5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546"/>
      <c r="R741" s="46"/>
      <c r="S741" s="46"/>
      <c r="T741" s="46"/>
      <c r="U741" s="46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IFERROR(__xludf.DUMMYFUNCTION("IMPORTRANGE(""https://docs.google.com/spreadsheets/d/1eHaY18a8A9IcSdp1K8H6x8fbOy06t2VsZHhMHf-1x7Y/edit?usp=sharing"",""แผน!GC84"")"),8)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546"/>
      <c r="R742" s="46"/>
      <c r="S742" s="46"/>
      <c r="T742" s="46"/>
      <c r="U742" s="46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546"/>
      <c r="R743" s="46"/>
      <c r="S743" s="46"/>
      <c r="T743" s="46"/>
      <c r="U743" s="46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IFERROR(__xludf.DUMMYFUNCTION("IMPORTRANGE(""https://docs.google.com/spreadsheets/d/1eHaY18a8A9IcSdp1K8H6x8fbOy06t2VsZHhMHf-1x7Y/edit?usp=sharing"",""แผน!GD84"")"),20)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546"/>
      <c r="R744" s="46"/>
      <c r="S744" s="46"/>
      <c r="T744" s="46"/>
      <c r="U744" s="46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546"/>
      <c r="R745" s="46"/>
      <c r="S745" s="46"/>
      <c r="T745" s="46"/>
      <c r="U745" s="46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IFERROR(__xludf.DUMMYFUNCTION("IMPORTRANGE(""https://docs.google.com/spreadsheets/d/1eHaY18a8A9IcSdp1K8H6x8fbOy06t2VsZHhMHf-1x7Y/edit?usp=sharing"",""แผน!GE84"")"),2)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546"/>
      <c r="R746" s="46"/>
      <c r="S746" s="46"/>
      <c r="T746" s="46"/>
      <c r="U746" s="46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546"/>
      <c r="R747" s="46"/>
      <c r="S747" s="46"/>
      <c r="T747" s="46"/>
      <c r="U747" s="46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546"/>
      <c r="R748" s="46"/>
      <c r="S748" s="46"/>
      <c r="T748" s="46"/>
      <c r="U748" s="46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IFERROR(__xludf.DUMMYFUNCTION("IMPORTRANGE(""https://docs.google.com/spreadsheets/d/1eHaY18a8A9IcSdp1K8H6x8fbOy06t2VsZHhMHf-1x7Y/edit?usp=sharing"",""แผน!GF84"")"),1)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546"/>
      <c r="R749" s="46"/>
      <c r="S749" s="46"/>
      <c r="T749" s="46"/>
      <c r="U749" s="46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546"/>
      <c r="R750" s="46"/>
      <c r="S750" s="46"/>
      <c r="T750" s="46"/>
      <c r="U750" s="46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546"/>
      <c r="R751" s="46"/>
      <c r="S751" s="46"/>
      <c r="T751" s="46"/>
      <c r="U751" s="46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IFERROR(__xludf.DUMMYFUNCTION("IMPORTRANGE(""https://docs.google.com/spreadsheets/d/1eHaY18a8A9IcSdp1K8H6x8fbOy06t2VsZHhMHf-1x7Y/edit?usp=sharing"",""แผน!GB84"")"),80)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546"/>
      <c r="R752" s="46"/>
      <c r="S752" s="46"/>
      <c r="T752" s="46"/>
      <c r="U752" s="46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546"/>
      <c r="R753" s="46"/>
      <c r="S753" s="46"/>
      <c r="T753" s="46"/>
      <c r="U753" s="46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546"/>
      <c r="R754" s="46"/>
      <c r="S754" s="46"/>
      <c r="T754" s="46"/>
      <c r="U754" s="46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IFERROR(__xludf.DUMMYFUNCTION("IMPORTRANGE(""https://docs.google.com/spreadsheets/d/1eHaY18a8A9IcSdp1K8H6x8fbOy06t2VsZHhMHf-1x7Y/edit?usp=sharing"",""แผน!GD84"")"),20)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546"/>
      <c r="R755" s="46"/>
      <c r="S755" s="46"/>
      <c r="T755" s="46"/>
      <c r="U755" s="46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5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558"/>
      <c r="R757" s="136"/>
      <c r="S757" s="136"/>
      <c r="T757" s="136"/>
      <c r="U757" s="136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55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55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550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5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548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548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5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548">
        <f ca="1">IFERROR(__xludf.DUMMYFUNCTION("IMPORTRANGE(""https://docs.google.com/spreadsheets/d/1ItG2mGa2ceCfYo0BwxsXqNm01IGEUdYcSSLTEv9YCik/edit?usp=sharing"",""เบิกจ่ายกองทุน!AA84"")"),0)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IFERROR(__xludf.DUMMYFUNCTION("IMPORTRANGE(""https://docs.google.com/spreadsheets/d/1ItG2mGa2ceCfYo0BwxsXqNm01IGEUdYcSSLTEv9YCik/edit?usp=sharing"",""เบิกจ่ายกองทุน!AC84"")"),0)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548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5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548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5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IFERROR(__xludf.DUMMYFUNCTION("IMPORTRANGE(""https://docs.google.com/spreadsheets/d/1eHaY18a8A9IcSdp1K8H6x8fbOy06t2VsZHhMHf-1x7Y/edit?usp=sharing"",""แผน!FI84"")"),1)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5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5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5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5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5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5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IFERROR(__xludf.DUMMYFUNCTION("IMPORTRANGE(""https://docs.google.com/spreadsheets/d/1eHaY18a8A9IcSdp1K8H6x8fbOy06t2VsZHhMHf-1x7Y/edit?usp=sharing"",""แผน!FT84"")"),0)</f>
        <v>0</v>
      </c>
      <c r="J776" s="355">
        <v>0</v>
      </c>
      <c r="K776" s="4"/>
      <c r="L776" s="545"/>
      <c r="M776" s="4"/>
      <c r="N776" s="4"/>
      <c r="O776" s="4"/>
      <c r="P776" s="4"/>
      <c r="Q776" s="545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887"/>
      <c r="R777" s="886"/>
      <c r="S777" s="886"/>
      <c r="T777" s="886"/>
      <c r="U777" s="886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152">
        <f ca="1">IFERROR(__xludf.DUMMYFUNCTION("IMPORTRANGE(""https://docs.google.com/spreadsheets/d/10OvvATaaLtwErnr3qtWFcTmtbfpFEt5Bsqel9sXx0uE/edit?usp=sharing"",""งานกองทุน!F84"")"),301499.05)</f>
        <v>301499.05</v>
      </c>
      <c r="K778" s="47">
        <f ca="1">IF(I778&gt;0,J778*100/I778,0)</f>
        <v>65.72339241111068</v>
      </c>
      <c r="L778" s="46"/>
      <c r="M778" s="46"/>
      <c r="N778" s="46"/>
      <c r="O778" s="46"/>
      <c r="P778" s="46"/>
      <c r="Q778" s="5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IFERROR(__xludf.DUMMYFUNCTION("IMPORTRANGE(""https://docs.google.com/spreadsheets/d/10OvvATaaLtwErnr3qtWFcTmtbfpFEt5Bsqel9sXx0uE/edit?usp=sharing"",""งานกองทุน!C84"")"),46)</f>
        <v>46</v>
      </c>
      <c r="J779" s="152">
        <f ca="1">IFERROR(__xludf.DUMMYFUNCTION("IMPORTRANGE(""https://docs.google.com/spreadsheets/d/10OvvATaaLtwErnr3qtWFcTmtbfpFEt5Bsqel9sXx0uE/edit?usp=sharing"",""งานกองทุน!E84"")"),31)</f>
        <v>31</v>
      </c>
      <c r="K779" s="47">
        <f ca="1">IF(I779&gt;0,J779*100/I779,0)</f>
        <v>67.391304347826093</v>
      </c>
      <c r="L779" s="46"/>
      <c r="M779" s="46"/>
      <c r="N779" s="46"/>
      <c r="O779" s="46"/>
      <c r="P779" s="46"/>
      <c r="Q779" s="5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ca="1">IF(I780&gt;0,J780*100/I780,0)</f>
        <v>100</v>
      </c>
      <c r="L780" s="46"/>
      <c r="M780" s="46"/>
      <c r="N780" s="46"/>
      <c r="O780" s="46"/>
      <c r="P780" s="46"/>
      <c r="Q780" s="5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IFERROR(__xludf.DUMMYFUNCTION("IMPORTRANGE(""https://docs.google.com/spreadsheets/d/10OvvATaaLtwErnr3qtWFcTmtbfpFEt5Bsqel9sXx0uE/edit?usp=sharing"",""งานกองทุน!H84"")"),3)</f>
        <v>3</v>
      </c>
      <c r="J781" s="15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5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2" s="152">
        <f ca="1">IFERROR(__xludf.DUMMYFUNCTION("IMPORTRANGE(""https://docs.google.com/spreadsheets/d/10OvvATaaLtwErnr3qtWFcTmtbfpFEt5Bsqel9sXx0uE/edit?usp=sharing"",""งานกองทุน!P84"")"),25659.25)</f>
        <v>25659.25</v>
      </c>
      <c r="K782" s="47">
        <f ca="1">IF(I782&gt;0,J782*100/I782,0)</f>
        <v>39.97540646096855</v>
      </c>
      <c r="L782" s="46"/>
      <c r="M782" s="46"/>
      <c r="N782" s="46"/>
      <c r="O782" s="46"/>
      <c r="P782" s="46"/>
      <c r="Q782" s="5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IFERROR(__xludf.DUMMYFUNCTION("IMPORTRANGE(""https://docs.google.com/spreadsheets/d/10OvvATaaLtwErnr3qtWFcTmtbfpFEt5Bsqel9sXx0uE/edit?usp=sharing"",""งานกองทุน!M84"")"),149)</f>
        <v>149</v>
      </c>
      <c r="J783" s="152">
        <f ca="1">IFERROR(__xludf.DUMMYFUNCTION("IMPORTRANGE(""https://docs.google.com/spreadsheets/d/10OvvATaaLtwErnr3qtWFcTmtbfpFEt5Bsqel9sXx0uE/edit?usp=sharing"",""งานกองทุน!O84"")"),14)</f>
        <v>14</v>
      </c>
      <c r="K783" s="47">
        <f ca="1">IF(I783&gt;0,J783*100/I783,0)</f>
        <v>9.3959731543624159</v>
      </c>
      <c r="L783" s="46"/>
      <c r="M783" s="46"/>
      <c r="N783" s="46"/>
      <c r="O783" s="46"/>
      <c r="P783" s="46"/>
      <c r="Q783" s="5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IFERROR(__xludf.DUMMYFUNCTION("IMPORTRANGE(""https://docs.google.com/spreadsheets/d/10OvvATaaLtwErnr3qtWFcTmtbfpFEt5Bsqel9sXx0uE/edit?usp=sharing"",""งานกองทุน!S84"")"),1372000)</f>
        <v>1372000</v>
      </c>
      <c r="J784" s="15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ca="1">IF(I784&gt;0,J784*100/I784,0)</f>
        <v>102.04081632653062</v>
      </c>
      <c r="L784" s="46"/>
      <c r="M784" s="46"/>
      <c r="N784" s="46"/>
      <c r="O784" s="46"/>
      <c r="P784" s="46"/>
      <c r="Q784" s="5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IFERROR(__xludf.DUMMYFUNCTION("IMPORTRANGE(""https://docs.google.com/spreadsheets/d/10OvvATaaLtwErnr3qtWFcTmtbfpFEt5Bsqel9sXx0uE/edit?usp=sharing"",""งานกองทุน!R84"")"),49)</f>
        <v>49</v>
      </c>
      <c r="J785" s="197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ca="1">IF(I785&gt;0,J785*100/I785,0)</f>
        <v>57.142857142857146</v>
      </c>
      <c r="L785" s="4"/>
      <c r="M785" s="4"/>
      <c r="N785" s="4"/>
      <c r="O785" s="4"/>
      <c r="P785" s="4"/>
      <c r="Q785" s="545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44193-6E47-4AC8-8405-FB1DCE8BC8EC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2976450</v>
      </c>
      <c r="M18" s="35">
        <f ca="1">M19+M20</f>
        <v>3088028</v>
      </c>
      <c r="N18" s="35">
        <f ca="1">N19+N20</f>
        <v>1561251.93</v>
      </c>
      <c r="O18" s="35">
        <f ca="1">IF(L18&gt;0,N18*100/L18,0)</f>
        <v>52.453490903593206</v>
      </c>
      <c r="P18" s="35">
        <f ca="1">IF(M18&gt;0,N18*100/M18,0)</f>
        <v>50.558218060198939</v>
      </c>
      <c r="Q18" s="35">
        <f ca="1">Q19+Q20</f>
        <v>1150425</v>
      </c>
      <c r="R18" s="35">
        <f ca="1">R19+R20</f>
        <v>1150425</v>
      </c>
      <c r="S18" s="35">
        <f ca="1">S19+S20</f>
        <v>345342.1</v>
      </c>
      <c r="T18" s="35">
        <f ca="1">IF(Q18&gt;0,S18*100/Q18,0)</f>
        <v>30.01865397570463</v>
      </c>
      <c r="U18" s="35">
        <f ca="1">IF(R18&gt;0,S18*100/R18,0)</f>
        <v>30.01865397570463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2976450</v>
      </c>
      <c r="M20" s="39">
        <f ca="1">M23+M26</f>
        <v>3088028</v>
      </c>
      <c r="N20" s="39">
        <f ca="1">N23+N26</f>
        <v>1561251.93</v>
      </c>
      <c r="O20" s="39">
        <f ca="1">IF(L20&gt;0,N20*100/L20,0)</f>
        <v>52.453490903593206</v>
      </c>
      <c r="P20" s="39">
        <f ca="1">IF(M20&gt;0,N20*100/M20,0)</f>
        <v>50.558218060198939</v>
      </c>
      <c r="Q20" s="39">
        <f ca="1">Q23+Q26</f>
        <v>1150425</v>
      </c>
      <c r="R20" s="39">
        <f ca="1">R23+R26</f>
        <v>1150425</v>
      </c>
      <c r="S20" s="39">
        <f ca="1">S23+S26</f>
        <v>345342.1</v>
      </c>
      <c r="T20" s="39">
        <f ca="1">IF(Q20&gt;0,S20*100/Q20,0)</f>
        <v>30.01865397570463</v>
      </c>
      <c r="U20" s="39">
        <f ca="1">IF(R20&gt;0,S20*100/R20,0)</f>
        <v>30.01865397570463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2084950</v>
      </c>
      <c r="M21" s="47">
        <f ca="1">M22+M23</f>
        <v>2196528</v>
      </c>
      <c r="N21" s="47">
        <f ca="1">N22+N23</f>
        <v>1519751.93</v>
      </c>
      <c r="O21" s="47">
        <f ca="1">IF(L21&gt;0,N21*100/L21,0)</f>
        <v>72.891528813640619</v>
      </c>
      <c r="P21" s="47">
        <f ca="1">IF(M21&gt;0,N21*100/M21,0)</f>
        <v>69.188825728604414</v>
      </c>
      <c r="Q21" s="47">
        <f ca="1">Q22+Q23</f>
        <v>890425</v>
      </c>
      <c r="R21" s="47">
        <f ca="1">R22+R23</f>
        <v>890425</v>
      </c>
      <c r="S21" s="47">
        <f ca="1">S22+S23</f>
        <v>345342.1</v>
      </c>
      <c r="T21" s="47">
        <f ca="1">IF(Q21&gt;0,S21*100/Q21,0)</f>
        <v>38.783962714434118</v>
      </c>
      <c r="U21" s="47">
        <f ca="1">IF(R21&gt;0,S21*100/R21,0)</f>
        <v>38.783962714434118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2084950</v>
      </c>
      <c r="M23" s="47">
        <f ca="1">M49+M64+M77+M99+M122+M144+M162+M191+M178+M271+M287+M308+M325+M338+M361+M380+M418+M498+M518+M539+M560+M581+M604+M621+M647+M695+M719+M733+M765</f>
        <v>2196528</v>
      </c>
      <c r="N23" s="47">
        <f ca="1">N49+N64+N77+N99+N122+N144+N162+N191+N178+N271+N287+N308+N325+N338+N361+N380+N418+N498+N518+N539+N560+N581+N604+N621+N647+N695+N719+N733+N765</f>
        <v>1519751.93</v>
      </c>
      <c r="O23" s="47">
        <f ca="1">IF(L23&gt;0,N23*100/L23,0)</f>
        <v>72.891528813640619</v>
      </c>
      <c r="P23" s="47">
        <f ca="1">IF(M23&gt;0,N23*100/M23,0)</f>
        <v>69.188825728604414</v>
      </c>
      <c r="Q23" s="47">
        <f ca="1">Q77+Q99+Q122+Q144+Q162+Q178+Q191+Q271+Q287+Q308+Q338+Q380+Q397+Q418+Q498+Q604+Q621+Q647+Q695+Q719+Q733+Q765</f>
        <v>890425</v>
      </c>
      <c r="R23" s="47">
        <f ca="1">R77+R99+R122+R144+R162+R178+R191+R271+R287+R308+R338+R380+R397+R418+R498+R604+R621+R647+R695+R719+R733+R765</f>
        <v>890425</v>
      </c>
      <c r="S23" s="47">
        <f ca="1">S77+S99+S122+S144+S162+S178+S191+S271+S287+S308+S338+S380+S397+S418+S498+S604+S621+S647+S695+S719+S733+S765</f>
        <v>345342.1</v>
      </c>
      <c r="T23" s="47">
        <f ca="1">IF(Q23&gt;0,S23*100/Q23,0)</f>
        <v>38.783962714434118</v>
      </c>
      <c r="U23" s="47">
        <f ca="1">IF(R23&gt;0,S23*100/R23,0)</f>
        <v>38.783962714434118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891500</v>
      </c>
      <c r="M24" s="47">
        <f ca="1">M25+M26</f>
        <v>891500</v>
      </c>
      <c r="N24" s="47">
        <f ca="1">N25+N26</f>
        <v>41500</v>
      </c>
      <c r="O24" s="47">
        <f ca="1">IF(L24&gt;0,N24*100/L24,0)</f>
        <v>4.655075715086932</v>
      </c>
      <c r="P24" s="47">
        <f ca="1">IF(M24&gt;0,N24*100/M24,0)</f>
        <v>4.655075715086932</v>
      </c>
      <c r="Q24" s="47">
        <f ca="1">Q25+Q26</f>
        <v>260000</v>
      </c>
      <c r="R24" s="47">
        <f ca="1">R25+R26</f>
        <v>260000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891500</v>
      </c>
      <c r="M26" s="47">
        <f ca="1">M52+M67+M80+M102+M125+M147+M165+M194+M181+M274+M290+M311+M328+M341+M364+M383+M421+M501+M521+M542+M563+M584+M607+M624+M650+M698+M722+M736+M768</f>
        <v>891500</v>
      </c>
      <c r="N26" s="47">
        <f ca="1">N52+N67+N80+N102+N125+N147+N165+N194+N181+N274+N290+N311+N328+N341+N364+N383+N421+N501+N521+N542+N563+N584+N607+N624+N650+N698+N722+N736+N768</f>
        <v>41500</v>
      </c>
      <c r="O26" s="47">
        <f ca="1">IF(L26&gt;0,N26*100/L26,0)</f>
        <v>4.655075715086932</v>
      </c>
      <c r="P26" s="47">
        <f ca="1">IF(M26&gt;0,N26*100/M26,0)</f>
        <v>4.655075715086932</v>
      </c>
      <c r="Q26" s="49">
        <f ca="1">Q80+Q102+Q125+Q147+Q165+Q181+Q194+Q274+Q290+Q311+Q341+Q383+Q400+Q421+Q501+Q607+Q624+Q650+Q698+Q722+Q736+Q768</f>
        <v>260000</v>
      </c>
      <c r="R26" s="49">
        <f ca="1">R80+R102+R125+R147+R165+R181+R194+R274+R290+R311+R341+R383+R400+R421+R501+R607+R624+R650+R698+R722+R736+R768</f>
        <v>260000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2965470</v>
      </c>
      <c r="M40" s="803">
        <f ca="1">M44+M59+M72+M94+M125+M139+M157+M173+M186+M266+M282+M303+M320+M333+M356</f>
        <v>3077048</v>
      </c>
      <c r="N40" s="803">
        <f ca="1">N44+N59+N72+N94+N125+N139+N157+N173+N186+N266+N282+N303+N320+N333+N356</f>
        <v>1561251.93</v>
      </c>
      <c r="O40" s="803">
        <f ca="1">IF(L40&gt;0,N40*100/L40,0)</f>
        <v>52.647706097178528</v>
      </c>
      <c r="P40" s="803">
        <f ca="1">IF(M40&gt;0,N40*100/M40,0)</f>
        <v>50.738627736713887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212200</v>
      </c>
      <c r="M44" s="79">
        <f ca="1">M45+M46</f>
        <v>225218</v>
      </c>
      <c r="N44" s="79">
        <f ca="1">N45+N46</f>
        <v>149676</v>
      </c>
      <c r="O44" s="79">
        <f ca="1">IF(L44&gt;0,N44*100/L44,0)</f>
        <v>70.535344015080113</v>
      </c>
      <c r="P44" s="79">
        <f ca="1">IF(M44&gt;0,N44*100/M44,0)</f>
        <v>66.458275981493486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212200</v>
      </c>
      <c r="M46" s="83">
        <f ca="1">M49+M52</f>
        <v>225218</v>
      </c>
      <c r="N46" s="83">
        <f ca="1">N49+N52</f>
        <v>149676</v>
      </c>
      <c r="O46" s="83">
        <f ca="1">IF(L46&gt;0,N46*100/L46,0)</f>
        <v>70.535344015080113</v>
      </c>
      <c r="P46" s="83">
        <f ca="1">IF(M46&gt;0,N46*100/M46,0)</f>
        <v>66.458275981493486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212200</v>
      </c>
      <c r="M47" s="47">
        <f ca="1">M48+M49</f>
        <v>225218</v>
      </c>
      <c r="N47" s="47">
        <f ca="1">N48+N49</f>
        <v>149676</v>
      </c>
      <c r="O47" s="47">
        <f ca="1">IF(L47&gt;0,N47*100/L47,0)</f>
        <v>70.535344015080113</v>
      </c>
      <c r="P47" s="47">
        <f ca="1">IF(M47&gt;0,N47*100/M47,0)</f>
        <v>66.458275981493486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IFERROR(__xludf.DUMMYFUNCTION("IMPORTRANGE(""https://docs.google.com/spreadsheets/d/1-uDff_7J0KD5mKrp0Vvzr7lt3OU09vwQwhkpOPPYv2Y/edit?usp=sharing"",""งบพรบ!P85"")"),212200)</f>
        <v>212200</v>
      </c>
      <c r="M49" s="47">
        <f ca="1">IFERROR(__xludf.DUMMYFUNCTION("IMPORTRANGE(""https://docs.google.com/spreadsheets/d/1-uDff_7J0KD5mKrp0Vvzr7lt3OU09vwQwhkpOPPYv2Y/edit?usp=sharing"",""งบพรบ!V85"")"),225218)</f>
        <v>225218</v>
      </c>
      <c r="N49" s="47">
        <f ca="1">IFERROR(__xludf.DUMMYFUNCTION("IMPORTRANGE(""https://docs.google.com/spreadsheets/d/1-uDff_7J0KD5mKrp0Vvzr7lt3OU09vwQwhkpOPPYv2Y/edit?usp=sharing"",""งบพรบ!Y85"")"),149676)</f>
        <v>149676</v>
      </c>
      <c r="O49" s="47">
        <f ca="1">IF(L49&gt;0,N49*100/L49,0)</f>
        <v>70.535344015080113</v>
      </c>
      <c r="P49" s="47">
        <f ca="1">IF(M49&gt;0,N49*100/M49,0)</f>
        <v>66.458275981493486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690800</v>
      </c>
      <c r="M59" s="106">
        <f ca="1">M60+M61</f>
        <v>699800</v>
      </c>
      <c r="N59" s="106">
        <f ca="1">N60+N61</f>
        <v>529591.9</v>
      </c>
      <c r="O59" s="106">
        <f ca="1">IF(L59&gt;0,N59*100/L59,0)</f>
        <v>76.663563983786915</v>
      </c>
      <c r="P59" s="106">
        <f ca="1">IF(M59&gt;0,N59*100/M59,0)</f>
        <v>75.677607887967994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690800</v>
      </c>
      <c r="M61" s="109">
        <f ca="1">M64+M67</f>
        <v>699800</v>
      </c>
      <c r="N61" s="109">
        <f ca="1">N64+N67</f>
        <v>529591.9</v>
      </c>
      <c r="O61" s="109">
        <f ca="1">IF(L61&gt;0,N61*100/L61,0)</f>
        <v>76.663563983786915</v>
      </c>
      <c r="P61" s="109">
        <f ca="1">IF(M61&gt;0,N61*100/M61,0)</f>
        <v>75.677607887967994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649300</v>
      </c>
      <c r="M62" s="47">
        <f ca="1">M63+M64</f>
        <v>658300</v>
      </c>
      <c r="N62" s="47">
        <f ca="1">N63+N64</f>
        <v>488091.9</v>
      </c>
      <c r="O62" s="47">
        <f ca="1">IF(L62&gt;0,N62*100/L62,0)</f>
        <v>75.172016017249348</v>
      </c>
      <c r="P62" s="47">
        <f ca="1">IF(M62&gt;0,N62*100/M62,0)</f>
        <v>74.144295913717144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IFERROR(__xludf.DUMMYFUNCTION("IMPORTRANGE(""https://docs.google.com/spreadsheets/d/1-uDff_7J0KD5mKrp0Vvzr7lt3OU09vwQwhkpOPPYv2Y/edit?usp=sharing"",""งบพรบ!AC85"")"),649300)</f>
        <v>649300</v>
      </c>
      <c r="M64" s="47">
        <f ca="1">IFERROR(__xludf.DUMMYFUNCTION("IMPORTRANGE(""https://docs.google.com/spreadsheets/d/1-uDff_7J0KD5mKrp0Vvzr7lt3OU09vwQwhkpOPPYv2Y/edit?usp=sharing"",""งบพรบ!AH85"")"),658300)</f>
        <v>658300</v>
      </c>
      <c r="N64" s="47">
        <f ca="1">IFERROR(__xludf.DUMMYFUNCTION("IMPORTRANGE(""https://docs.google.com/spreadsheets/d/1-uDff_7J0KD5mKrp0Vvzr7lt3OU09vwQwhkpOPPYv2Y/edit?usp=sharing"",""งบพรบ!AJ85"")"),488091.9)</f>
        <v>488091.9</v>
      </c>
      <c r="O64" s="47">
        <f ca="1">IF(L64&gt;0,N64*100/L64,0)</f>
        <v>75.172016017249348</v>
      </c>
      <c r="P64" s="47">
        <f ca="1">IF(M64&gt;0,N64*100/M64,0)</f>
        <v>74.144295913717144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41500</v>
      </c>
      <c r="M65" s="47">
        <f ca="1">M66+M67</f>
        <v>41500</v>
      </c>
      <c r="N65" s="47">
        <f ca="1">N66+N67</f>
        <v>41500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IFERROR(__xludf.DUMMYFUNCTION("IMPORTRANGE(""https://docs.google.com/spreadsheets/d/1-uDff_7J0KD5mKrp0Vvzr7lt3OU09vwQwhkpOPPYv2Y/edit?usp=sharing"",""งบพรบ!AF85"")"),41500)</f>
        <v>41500</v>
      </c>
      <c r="M67" s="111">
        <f ca="1">IFERROR(__xludf.DUMMYFUNCTION("IMPORTRANGE(""https://docs.google.com/spreadsheets/d/1-uDff_7J0KD5mKrp0Vvzr7lt3OU09vwQwhkpOPPYv2Y/edit?usp=sharing"",""งบพรบ!AI85"")"),41500)</f>
        <v>41500</v>
      </c>
      <c r="N67" s="111">
        <f ca="1">IFERROR(__xludf.DUMMYFUNCTION("IMPORTRANGE(""https://docs.google.com/spreadsheets/d/1-uDff_7J0KD5mKrp0Vvzr7lt3OU09vwQwhkpOPPYv2Y/edit?usp=sharing"",""งบพรบ!AK85"")"),41500)</f>
        <v>41500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140736</v>
      </c>
      <c r="T117" s="132">
        <f ca="1">IF(Q117&gt;0,S117*100/Q117,0)</f>
        <v>73.506737699780629</v>
      </c>
      <c r="U117" s="132">
        <f ca="1">IF(R117&gt;0,S117*100/R117,0)</f>
        <v>73.506737699780629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140736</v>
      </c>
      <c r="T119" s="47">
        <f ca="1">IF(Q119&gt;0,S119*100/Q119,0)</f>
        <v>73.506737699780629</v>
      </c>
      <c r="U119" s="47">
        <f ca="1">IF(R119&gt;0,S119*100/R119,0)</f>
        <v>73.506737699780629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140736</v>
      </c>
      <c r="T120" s="47">
        <f ca="1">IF(Q120&gt;0,S120*100/Q120,0)</f>
        <v>73.506737699780629</v>
      </c>
      <c r="U120" s="47">
        <f ca="1">IF(R120&gt;0,S120*100/R120,0)</f>
        <v>73.506737699780629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IFERROR(__xludf.DUMMYFUNCTION("IMPORTRANGE(""https://docs.google.com/spreadsheets/d/1ItG2mGa2ceCfYo0BwxsXqNm01IGEUdYcSSLTEv9YCik/edit?usp=sharing"",""เบิกจ่ายกองทุน!W85"")"),140736)</f>
        <v>140736</v>
      </c>
      <c r="T122" s="47">
        <f ca="1">IF(Q122&gt;0,S122*100/Q122,0)</f>
        <v>73.506737699780629</v>
      </c>
      <c r="U122" s="47">
        <f ca="1">IF(R122&gt;0,S122*100/R122,0)</f>
        <v>73.506737699780629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IFERROR(__xludf.DUMMYFUNCTION("IMPORTRANGE(""https://docs.google.com/spreadsheets/d/1eHaY18a8A9IcSdp1K8H6x8fbOy06t2VsZHhMHf-1x7Y/edit?usp=sharing"",""แผน!FG85"")"),1)</f>
        <v>1</v>
      </c>
      <c r="J128" s="167">
        <v>1</v>
      </c>
      <c r="K128" s="47">
        <f ca="1">IF(I128&gt;0,J128*100/I128,0)</f>
        <v>100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IFERROR(__xludf.DUMMYFUNCTION("IMPORTRANGE(""https://docs.google.com/spreadsheets/d/1eHaY18a8A9IcSdp1K8H6x8fbOy06t2VsZHhMHf-1x7Y/edit?usp=sharing"",""แผน!FI85"")"),1)</f>
        <v>1</v>
      </c>
      <c r="J130" s="167">
        <v>1</v>
      </c>
      <c r="K130" s="47">
        <f ca="1">IF(I130&gt;0,J130*100/I130,0)</f>
        <v>100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30</v>
      </c>
      <c r="J137" s="127">
        <f>J152</f>
        <v>30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3</v>
      </c>
      <c r="J138" s="127">
        <f>J153</f>
        <v>3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66500</v>
      </c>
      <c r="M139" s="132">
        <f ca="1">M140+M141</f>
        <v>61500</v>
      </c>
      <c r="N139" s="132">
        <f ca="1">N140+N141</f>
        <v>53811</v>
      </c>
      <c r="O139" s="132">
        <f ca="1">IF(L139&gt;0,N139*100/L139,0)</f>
        <v>80.918796992481205</v>
      </c>
      <c r="P139" s="132">
        <f ca="1">IF(M139&gt;0,N139*100/M139,0)</f>
        <v>87.497560975609758</v>
      </c>
      <c r="Q139" s="132">
        <f ca="1">Q140+Q141</f>
        <v>304860</v>
      </c>
      <c r="R139" s="132">
        <f ca="1">R140+R141</f>
        <v>304860</v>
      </c>
      <c r="S139" s="132">
        <f ca="1">S140+S141</f>
        <v>17530</v>
      </c>
      <c r="T139" s="132">
        <f ca="1">IF(Q139&gt;0,S139*100/Q139,0)</f>
        <v>5.7501804106803123</v>
      </c>
      <c r="U139" s="132">
        <f ca="1">IF(R139&gt;0,S139*100/R139,0)</f>
        <v>5.7501804106803123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66500</v>
      </c>
      <c r="M141" s="47">
        <f ca="1">M144+M147</f>
        <v>61500</v>
      </c>
      <c r="N141" s="47">
        <f ca="1">N144+N147</f>
        <v>53811</v>
      </c>
      <c r="O141" s="47">
        <f ca="1">IF(L141&gt;0,N141*100/L141,0)</f>
        <v>80.918796992481205</v>
      </c>
      <c r="P141" s="47">
        <f ca="1">IF(M141&gt;0,N141*100/M141,0)</f>
        <v>87.497560975609758</v>
      </c>
      <c r="Q141" s="47">
        <f ca="1">Q144+Q147</f>
        <v>304860</v>
      </c>
      <c r="R141" s="47">
        <f ca="1">R144+R147</f>
        <v>304860</v>
      </c>
      <c r="S141" s="47">
        <f ca="1">S144+S147</f>
        <v>17530</v>
      </c>
      <c r="T141" s="47">
        <f ca="1">IF(Q141&gt;0,S141*100/Q141,0)</f>
        <v>5.7501804106803123</v>
      </c>
      <c r="U141" s="47">
        <f ca="1">IF(R141&gt;0,S141*100/R141,0)</f>
        <v>5.7501804106803123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66500</v>
      </c>
      <c r="M142" s="47">
        <f ca="1">M143+M144</f>
        <v>61500</v>
      </c>
      <c r="N142" s="47">
        <f ca="1">N143+N144</f>
        <v>53811</v>
      </c>
      <c r="O142" s="47">
        <f ca="1">IF(L142&gt;0,N142*100/L142,0)</f>
        <v>80.918796992481205</v>
      </c>
      <c r="P142" s="47">
        <f ca="1">IF(M142&gt;0,N142*100/M142,0)</f>
        <v>87.497560975609758</v>
      </c>
      <c r="Q142" s="47">
        <f ca="1">Q143+Q144</f>
        <v>44860</v>
      </c>
      <c r="R142" s="47">
        <f ca="1">R143+R144</f>
        <v>44860</v>
      </c>
      <c r="S142" s="47">
        <f ca="1">S143+S144</f>
        <v>17530</v>
      </c>
      <c r="T142" s="47">
        <f ca="1">IF(Q142&gt;0,S142*100/Q142,0)</f>
        <v>39.077128845296478</v>
      </c>
      <c r="U142" s="47">
        <f ca="1">IF(R142&gt;0,S142*100/R142,0)</f>
        <v>39.077128845296478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IFERROR(__xludf.DUMMYFUNCTION("IMPORTRANGE(""https://docs.google.com/spreadsheets/d/1-uDff_7J0KD5mKrp0Vvzr7lt3OU09vwQwhkpOPPYv2Y/edit?usp=sharing"",""งบพรบ!BX85"")"),53811)</f>
        <v>53811</v>
      </c>
      <c r="O144" s="47">
        <f ca="1">IF(L144&gt;0,N144*100/L144,0)</f>
        <v>80.918796992481205</v>
      </c>
      <c r="P144" s="47">
        <f ca="1">IF(M144&gt;0,N144*100/M144,0)</f>
        <v>87.497560975609758</v>
      </c>
      <c r="Q144" s="47">
        <f ca="1">IFERROR(__xludf.DUMMYFUNCTION("IMPORTRANGE(""https://docs.google.com/spreadsheets/d/1ItG2mGa2ceCfYo0BwxsXqNm01IGEUdYcSSLTEv9YCik/edit?usp=sharing"",""เบิกจ่ายกองทุน!CF85"")"),44860)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IFERROR(__xludf.DUMMYFUNCTION("IMPORTRANGE(""https://docs.google.com/spreadsheets/d/1ItG2mGa2ceCfYo0BwxsXqNm01IGEUdYcSSLTEv9YCik/edit?usp=sharing"",""เบิกจ่ายกองทุน!CG85"")"),44860)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IFERROR(__xludf.DUMMYFUNCTION("IMPORTRANGE(""https://docs.google.com/spreadsheets/d/1ItG2mGa2ceCfYo0BwxsXqNm01IGEUdYcSSLTEv9YCik/edit?usp=sharing"",""เบิกจ่ายกองทุน!CH85"")"),17530)</f>
        <v>17530</v>
      </c>
      <c r="T144" s="47">
        <f ca="1">IF(Q144&gt;0,S144*100/Q144,0)</f>
        <v>39.077128845296478</v>
      </c>
      <c r="U144" s="47">
        <f ca="1">IF(R144&gt;0,S144*100/R144,0)</f>
        <v>39.077128845296478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260000</v>
      </c>
      <c r="R145" s="47">
        <f ca="1">R146+R147</f>
        <v>260000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IFERROR(__xludf.DUMMYFUNCTION("IMPORTRANGE(""https://docs.google.com/spreadsheets/d/1ItG2mGa2ceCfYo0BwxsXqNm01IGEUdYcSSLTEv9YCik/edit?usp=sharing"",""เบิกจ่ายกองทุน!CI85"")"),260000)</f>
        <v>260000</v>
      </c>
      <c r="R147" s="47">
        <f ca="1">IFERROR(__xludf.DUMMYFUNCTION("IMPORTRANGE(""https://docs.google.com/spreadsheets/d/1ItG2mGa2ceCfYo0BwxsXqNm01IGEUdYcSSLTEv9YCik/edit?usp=sharing"",""เบิกจ่ายกองทุน!CJ85"")"),260000)</f>
        <v>260000</v>
      </c>
      <c r="S147" s="47">
        <f ca="1">IFERROR(__xludf.DUMMYFUNCTION("IMPORTRANGE(""https://docs.google.com/spreadsheets/d/1ItG2mGa2ceCfYo0BwxsXqNm01IGEUdYcSSLTEv9YCik/edit?usp=sharing"",""เบิกจ่ายกองทุน!CK85"")"),0)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IFERROR(__xludf.DUMMYFUNCTION("IMPORTRANGE(""https://docs.google.com/spreadsheets/d/1eHaY18a8A9IcSdp1K8H6x8fbOy06t2VsZHhMHf-1x7Y/edit?usp=sharing"",""แผน!U85"")"),20)</f>
        <v>20</v>
      </c>
      <c r="J150" s="167">
        <v>20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IFERROR(__xludf.DUMMYFUNCTION("IMPORTRANGE(""https://docs.google.com/spreadsheets/d/1eHaY18a8A9IcSdp1K8H6x8fbOy06t2VsZHhMHf-1x7Y/edit?usp=sharing"",""แผน!V85"")"),2)</f>
        <v>2</v>
      </c>
      <c r="J151" s="167">
        <v>2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IFERROR(__xludf.DUMMYFUNCTION("IMPORTRANGE(""https://docs.google.com/spreadsheets/d/1eHaY18a8A9IcSdp1K8H6x8fbOy06t2VsZHhMHf-1x7Y/edit?usp=sharing"",""แผน!W85"")"),30)</f>
        <v>30</v>
      </c>
      <c r="J152" s="167">
        <v>30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IFERROR(__xludf.DUMMYFUNCTION("IMPORTRANGE(""https://docs.google.com/spreadsheets/d/1eHaY18a8A9IcSdp1K8H6x8fbOy06t2VsZHhMHf-1x7Y/edit?usp=sharing"",""แผน!X85"")"),3)</f>
        <v>3</v>
      </c>
      <c r="J153" s="167">
        <v>3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IFERROR(__xludf.DUMMYFUNCTION("IMPORTRANGE(""https://docs.google.com/spreadsheets/d/1eHaY18a8A9IcSdp1K8H6x8fbOy06t2VsZHhMHf-1x7Y/edit?usp=sharing"",""แผน!Y85"")"),2)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IFERROR(__xludf.DUMMYFUNCTION("IMPORTRANGE(""https://docs.google.com/spreadsheets/d/1eHaY18a8A9IcSdp1K8H6x8fbOy06t2VsZHhMHf-1x7Y/edit?usp=sharing"",""แผน!Z85"")"),0)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IFERROR(__xludf.DUMMYFUNCTION("IMPORTRANGE(""https://docs.google.com/spreadsheets/d/1eHaY18a8A9IcSdp1K8H6x8fbOy06t2VsZHhMHf-1x7Y/edit?usp=sharing"",""แผน!Z85"")"),0)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35150</v>
      </c>
      <c r="N173" s="132">
        <f ca="1">N174+N175</f>
        <v>34641</v>
      </c>
      <c r="O173" s="132">
        <f ca="1">IF(L173&gt;0,N173*100/L173,0)</f>
        <v>176.83001531393569</v>
      </c>
      <c r="P173" s="132">
        <f ca="1">IF(M173&gt;0,N173*100/M173,0)</f>
        <v>98.551920341394023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35150</v>
      </c>
      <c r="N175" s="47">
        <f ca="1">N178+N181</f>
        <v>34641</v>
      </c>
      <c r="O175" s="47">
        <f ca="1">IF(L175&gt;0,N175*100/L175,0)</f>
        <v>176.83001531393569</v>
      </c>
      <c r="P175" s="47">
        <f ca="1">IF(M175&gt;0,N175*100/M175,0)</f>
        <v>98.551920341394023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35150</v>
      </c>
      <c r="N176" s="47">
        <f ca="1">N177+N178</f>
        <v>34641</v>
      </c>
      <c r="O176" s="47">
        <f ca="1">IF(L176&gt;0,N176*100/L176,0)</f>
        <v>176.83001531393569</v>
      </c>
      <c r="P176" s="47">
        <f ca="1">IF(M176&gt;0,N176*100/M176,0)</f>
        <v>98.551920341394023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IFERROR(__xludf.DUMMYFUNCTION("IMPORTRANGE(""https://docs.google.com/spreadsheets/d/1-uDff_7J0KD5mKrp0Vvzr7lt3OU09vwQwhkpOPPYv2Y/edit?usp=sharing"",""งบพรบ!CR85"")"),34641)</f>
        <v>34641</v>
      </c>
      <c r="O178" s="47">
        <f ca="1">IF(L178&gt;0,N178*100/L178,0)</f>
        <v>176.83001531393569</v>
      </c>
      <c r="P178" s="47">
        <f ca="1">IF(M178&gt;0,N178*100/M178,0)</f>
        <v>98.551920341394023</v>
      </c>
      <c r="Q178" s="47">
        <f ca="1">IFERROR(__xludf.DUMMYFUNCTION("IMPORTRANGE(""https://docs.google.com/spreadsheets/d/1ItG2mGa2ceCfYo0BwxsXqNm01IGEUdYcSSLTEv9YCik/edit?usp=sharing"",""เบิกจ่ายกองทุน!DG85"")"),0)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401900</v>
      </c>
      <c r="M186" s="132">
        <f ca="1">M187+M188</f>
        <v>403900</v>
      </c>
      <c r="N186" s="132">
        <f ca="1">N187+N188</f>
        <v>320040.68</v>
      </c>
      <c r="O186" s="132">
        <f ca="1">IF(L186&gt;0,N186*100/L186,0)</f>
        <v>79.631918387658615</v>
      </c>
      <c r="P186" s="132">
        <f ca="1">IF(M186&gt;0,N186*100/M186,0)</f>
        <v>79.237603367170095</v>
      </c>
      <c r="Q186" s="132">
        <f ca="1">Q187+Q188</f>
        <v>28000</v>
      </c>
      <c r="R186" s="132">
        <f ca="1">R187+R188</f>
        <v>28000</v>
      </c>
      <c r="S186" s="132">
        <f ca="1">S187+S188</f>
        <v>9395</v>
      </c>
      <c r="T186" s="132">
        <f ca="1">IF(Q186&gt;0,S186*100/Q186,0)</f>
        <v>33.553571428571431</v>
      </c>
      <c r="U186" s="132">
        <f ca="1">IF(R186&gt;0,S186*100/R186,0)</f>
        <v>33.553571428571431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401900</v>
      </c>
      <c r="M188" s="47">
        <f ca="1">M191+M194</f>
        <v>403900</v>
      </c>
      <c r="N188" s="47">
        <f ca="1">N191+N194</f>
        <v>320040.68</v>
      </c>
      <c r="O188" s="47">
        <f ca="1">IF(L188&gt;0,N188*100/L188,0)</f>
        <v>79.631918387658615</v>
      </c>
      <c r="P188" s="47">
        <f ca="1">IF(M188&gt;0,N188*100/M188,0)</f>
        <v>79.237603367170095</v>
      </c>
      <c r="Q188" s="47">
        <f ca="1">Q191+Q194</f>
        <v>28000</v>
      </c>
      <c r="R188" s="47">
        <f ca="1">R191+R194</f>
        <v>28000</v>
      </c>
      <c r="S188" s="47">
        <f ca="1">S191+S194</f>
        <v>9395</v>
      </c>
      <c r="T188" s="47">
        <f ca="1">IF(Q188&gt;0,S188*100/Q188,0)</f>
        <v>33.553571428571431</v>
      </c>
      <c r="U188" s="47">
        <f ca="1">IF(R188&gt;0,S188*100/R188,0)</f>
        <v>33.553571428571431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401900</v>
      </c>
      <c r="M189" s="47">
        <f ca="1">M190+M191</f>
        <v>403900</v>
      </c>
      <c r="N189" s="47">
        <f ca="1">N190+N191</f>
        <v>320040.68</v>
      </c>
      <c r="O189" s="47">
        <f ca="1">IF(L189&gt;0,N189*100/L189,0)</f>
        <v>79.631918387658615</v>
      </c>
      <c r="P189" s="47">
        <f ca="1">IF(M189&gt;0,N189*100/M189,0)</f>
        <v>79.237603367170095</v>
      </c>
      <c r="Q189" s="47">
        <f ca="1">Q190+Q191</f>
        <v>28000</v>
      </c>
      <c r="R189" s="47">
        <f ca="1">R190+R191</f>
        <v>28000</v>
      </c>
      <c r="S189" s="47">
        <f ca="1">S190+S191</f>
        <v>9395</v>
      </c>
      <c r="T189" s="47">
        <f ca="1">IF(Q189&gt;0,S189*100/Q189,0)</f>
        <v>33.553571428571431</v>
      </c>
      <c r="U189" s="47">
        <f ca="1">IF(R189&gt;0,S189*100/R189,0)</f>
        <v>33.553571428571431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IFERROR(__xludf.DUMMYFUNCTION("IMPORTRANGE(""https://docs.google.com/spreadsheets/d/1-uDff_7J0KD5mKrp0Vvzr7lt3OU09vwQwhkpOPPYv2Y/edit?usp=sharing"",""งบพรบ!CU85"")"),401900)</f>
        <v>401900</v>
      </c>
      <c r="M191" s="47">
        <f ca="1">IFERROR(__xludf.DUMMYFUNCTION("IMPORTRANGE(""https://docs.google.com/spreadsheets/d/1-uDff_7J0KD5mKrp0Vvzr7lt3OU09vwQwhkpOPPYv2Y/edit?usp=sharing"",""งบพรบ!CZ85"")"),403900)</f>
        <v>403900</v>
      </c>
      <c r="N191" s="47">
        <f ca="1">IFERROR(__xludf.DUMMYFUNCTION("IMPORTRANGE(""https://docs.google.com/spreadsheets/d/1-uDff_7J0KD5mKrp0Vvzr7lt3OU09vwQwhkpOPPYv2Y/edit?usp=sharing"",""งบพรบ!DB85"")"),320040.68)</f>
        <v>320040.68</v>
      </c>
      <c r="O191" s="47">
        <f ca="1">IF(L191&gt;0,N191*100/L191,0)</f>
        <v>79.631918387658615</v>
      </c>
      <c r="P191" s="47">
        <f ca="1">IF(M191&gt;0,N191*100/M191,0)</f>
        <v>79.237603367170095</v>
      </c>
      <c r="Q191" s="47">
        <f ca="1">IFERROR(__xludf.DUMMYFUNCTION("IMPORTRANGE(""https://docs.google.com/spreadsheets/d/1ItG2mGa2ceCfYo0BwxsXqNm01IGEUdYcSSLTEv9YCik/edit?usp=sharing"",""เบิกจ่ายกองทุน!BQ85"")"),28000)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IFERROR(__xludf.DUMMYFUNCTION("IMPORTRANGE(""https://docs.google.com/spreadsheets/d/1ItG2mGa2ceCfYo0BwxsXqNm01IGEUdYcSSLTEv9YCik/edit?usp=sharing"",""เบิกจ่ายกองทุน!BR85"")"),28000)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IFERROR(__xludf.DUMMYFUNCTION("IMPORTRANGE(""https://docs.google.com/spreadsheets/d/1ItG2mGa2ceCfYo0BwxsXqNm01IGEUdYcSSLTEv9YCik/edit?usp=sharing"",""เบิกจ่ายกองทุน!BS85"")"),9395)</f>
        <v>9395</v>
      </c>
      <c r="T191" s="47">
        <f ca="1">IF(Q191&gt;0,S191*100/Q191,0)</f>
        <v>33.553571428571431</v>
      </c>
      <c r="U191" s="47">
        <f ca="1">IF(R191&gt;0,S191*100/R191,0)</f>
        <v>33.553571428571431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769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IFERROR(__xludf.DUMMYFUNCTION("IMPORTRANGE(""https://docs.google.com/spreadsheets/d/1eHaY18a8A9IcSdp1K8H6x8fbOy06t2VsZHhMHf-1x7Y/edit?usp=sharing"",""แผน!AE85"")"),4)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110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110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8225</v>
      </c>
      <c r="O203" s="132">
        <f ca="1">IF(L203&gt;0,N203*100/L203,0)</f>
        <v>82.25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IFERROR(__xludf.DUMMYFUNCTION("IMPORTRANGE(""https://docs.google.com/spreadsheets/d/1eHaY18a8A9IcSdp1K8H6x8fbOy06t2VsZHhMHf-1x7Y/edit?usp=sharing"",""แผน!AG85"")"),2000)</f>
        <v>2000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IFERROR(__xludf.DUMMYFUNCTION("IMPORTRANGE(""https://docs.google.com/spreadsheets/d/1eHaY18a8A9IcSdp1K8H6x8fbOy06t2VsZHhMHf-1x7Y/edit?usp=sharing"",""แผน!AH85"")"),0)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IFERROR(__xludf.DUMMYFUNCTION("IMPORTRANGE(""https://docs.google.com/spreadsheets/d/1eHaY18a8A9IcSdp1K8H6x8fbOy06t2VsZHhMHf-1x7Y/edit?usp=sharing"",""แผน!AI85"")"),0)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IFERROR(__xludf.DUMMYFUNCTION("IMPORTRANGE(""https://docs.google.com/spreadsheets/d/1eHaY18a8A9IcSdp1K8H6x8fbOy06t2VsZHhMHf-1x7Y/edit?usp=sharing"",""แผน!AJ85"")"),8000)</f>
        <v>8000</v>
      </c>
      <c r="M207" s="46"/>
      <c r="N207" s="743">
        <v>8225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IFERROR(__xludf.DUMMYFUNCTION("IMPORTRANGE(""https://docs.google.com/spreadsheets/d/1eHaY18a8A9IcSdp1K8H6x8fbOy06t2VsZHhMHf-1x7Y/edit?usp=sharing"",""แผน!AK85"")"),2)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IFERROR(__xludf.DUMMYFUNCTION("IMPORTRANGE(""https://docs.google.com/spreadsheets/d/1eHaY18a8A9IcSdp1K8H6x8fbOy06t2VsZHhMHf-1x7Y/edit?usp=sharing"",""แผน!JX85"")"),1)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IFERROR(__xludf.DUMMYFUNCTION("IMPORTRANGE(""https://docs.google.com/spreadsheets/d/1eHaY18a8A9IcSdp1K8H6x8fbOy06t2VsZHhMHf-1x7Y/edit?usp=sharing"",""แผน!AM85"")"),0)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IFERROR(__xludf.DUMMYFUNCTION("IMPORTRANGE(""https://docs.google.com/spreadsheets/d/1eHaY18a8A9IcSdp1K8H6x8fbOy06t2VsZHhMHf-1x7Y/edit?usp=sharing"",""แผน!AN85"")"),0)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IFERROR(__xludf.DUMMYFUNCTION("IMPORTRANGE(""https://docs.google.com/spreadsheets/d/1eHaY18a8A9IcSdp1K8H6x8fbOy06t2VsZHhMHf-1x7Y/edit?usp=sharing"",""แผน!AO85"")"),0)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IFERROR(__xludf.DUMMYFUNCTION("IMPORTRANGE(""https://docs.google.com/spreadsheets/d/1eHaY18a8A9IcSdp1K8H6x8fbOy06t2VsZHhMHf-1x7Y/edit?usp=sharing"",""แผน!LY85"")"),0)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15000</v>
      </c>
      <c r="K221" s="229">
        <f ca="1">IF(I221&gt;0,J221*100/I221,0)</f>
        <v>117.1875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3900</v>
      </c>
      <c r="O222" s="132">
        <f ca="1">IF(L222&gt;0,N222*100/L222,0)</f>
        <v>86.666666666666671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IFERROR(__xludf.DUMMYFUNCTION("IMPORTRANGE(""https://docs.google.com/spreadsheets/d/1eHaY18a8A9IcSdp1K8H6x8fbOy06t2VsZHhMHf-1x7Y/edit?usp=sharing"",""แผน!AR85"")"),2500)</f>
        <v>2500</v>
      </c>
      <c r="M223" s="46"/>
      <c r="N223" s="743">
        <v>1400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IFERROR(__xludf.DUMMYFUNCTION("IMPORTRANGE(""https://docs.google.com/spreadsheets/d/1eHaY18a8A9IcSdp1K8H6x8fbOy06t2VsZHhMHf-1x7Y/edit?usp=sharing"",""แผน!AS85"")"),2000)</f>
        <v>2000</v>
      </c>
      <c r="M224" s="46"/>
      <c r="N224" s="743">
        <v>2500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IFERROR(__xludf.DUMMYFUNCTION("IMPORTRANGE(""https://docs.google.com/spreadsheets/d/1eHaY18a8A9IcSdp1K8H6x8fbOy06t2VsZHhMHf-1x7Y/edit?usp=sharing"",""แผน!AT85"")"),0)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IFERROR(__xludf.DUMMYFUNCTION("IMPORTRANGE(""https://docs.google.com/spreadsheets/d/1eHaY18a8A9IcSdp1K8H6x8fbOy06t2VsZHhMHf-1x7Y/edit?usp=sharing"",""แผน!AV85"")"),12800)</f>
        <v>12800</v>
      </c>
      <c r="J228" s="167">
        <v>15000</v>
      </c>
      <c r="K228" s="153">
        <f ca="1">IF(I228&gt;0,J228*100/I228,0)</f>
        <v>117.1875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>
        <v>15000</v>
      </c>
      <c r="K229" s="153">
        <f ca="1">IF(I229&gt;0,J229*100/I229,0)</f>
        <v>117.1875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IFERROR(__xludf.DUMMYFUNCTION("IMPORTRANGE(""https://docs.google.com/spreadsheets/d/1eHaY18a8A9IcSdp1K8H6x8fbOy06t2VsZHhMHf-1x7Y/edit?usp=sharing"",""แผน!AX85"")"),0)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IFERROR(__xludf.DUMMYFUNCTION("IMPORTRANGE(""https://docs.google.com/spreadsheets/d/1eHaY18a8A9IcSdp1K8H6x8fbOy06t2VsZHhMHf-1x7Y/edit?usp=sharing"",""แผน!AY85"")"),0)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IFERROR(__xludf.DUMMYFUNCTION("IMPORTRANGE(""https://docs.google.com/spreadsheets/d/1eHaY18a8A9IcSdp1K8H6x8fbOy06t2VsZHhMHf-1x7Y/edit?usp=sharing"",""แผน!AZ85"")"),0)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IFERROR(__xludf.DUMMYFUNCTION("IMPORTRANGE(""https://docs.google.com/spreadsheets/d/1eHaY18a8A9IcSdp1K8H6x8fbOy06t2VsZHhMHf-1x7Y/edit?usp=sharing"",""แผน!BA85"")"),0)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IFERROR(__xludf.DUMMYFUNCTION("IMPORTRANGE(""https://docs.google.com/spreadsheets/d/1eHaY18a8A9IcSdp1K8H6x8fbOy06t2VsZHhMHf-1x7Y/edit?usp=sharing"",""แผน!BG85"")"),0)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IFERROR(__xludf.DUMMYFUNCTION("IMPORTRANGE(""https://docs.google.com/spreadsheets/d/1eHaY18a8A9IcSdp1K8H6x8fbOy06t2VsZHhMHf-1x7Y/edit?usp=sharing"",""แผน!BB85"")"),0)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IFERROR(__xludf.DUMMYFUNCTION("IMPORTRANGE(""https://docs.google.com/spreadsheets/d/1eHaY18a8A9IcSdp1K8H6x8fbOy06t2VsZHhMHf-1x7Y/edit?usp=sharing"",""แผน!BC85"")"),0)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IFERROR(__xludf.DUMMYFUNCTION("IMPORTRANGE(""https://docs.google.com/spreadsheets/d/1eHaY18a8A9IcSdp1K8H6x8fbOy06t2VsZHhMHf-1x7Y/edit?usp=sharing"",""แผน!BD85"")"),0)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IFERROR(__xludf.DUMMYFUNCTION("IMPORTRANGE(""https://docs.google.com/spreadsheets/d/1eHaY18a8A9IcSdp1K8H6x8fbOy06t2VsZHhMHf-1x7Y/edit?usp=sharing"",""แผน!BE85"")"),0)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IFERROR(__xludf.DUMMYFUNCTION("IMPORTRANGE(""https://docs.google.com/spreadsheets/d/1eHaY18a8A9IcSdp1K8H6x8fbOy06t2VsZHhMHf-1x7Y/edit?usp=sharing"",""แผน!BH85"")"),0)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1120</v>
      </c>
      <c r="O266" s="421">
        <f ca="1">IF(L266&gt;0,N266*100/L266,0)</f>
        <v>22.4</v>
      </c>
      <c r="P266" s="421">
        <f ca="1">IF(M266&gt;0,N266*100/M266,0)</f>
        <v>22.4</v>
      </c>
      <c r="Q266" s="421">
        <f ca="1">Q267+Q268</f>
        <v>50660</v>
      </c>
      <c r="R266" s="421">
        <f ca="1">R267+R268</f>
        <v>50660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1120</v>
      </c>
      <c r="O268" s="331">
        <f ca="1">IF(L268&gt;0,N268*100/L268,0)</f>
        <v>22.4</v>
      </c>
      <c r="P268" s="331">
        <f ca="1">IF(M268&gt;0,N268*100/M268,0)</f>
        <v>22.4</v>
      </c>
      <c r="Q268" s="331">
        <f ca="1">Q271+Q274</f>
        <v>50660</v>
      </c>
      <c r="R268" s="331">
        <f ca="1">R271+R274</f>
        <v>50660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1120</v>
      </c>
      <c r="O269" s="331">
        <f ca="1">IF(L269&gt;0,N269*100/L269,0)</f>
        <v>22.4</v>
      </c>
      <c r="P269" s="331">
        <f ca="1">IF(M269&gt;0,N269*100/M269,0)</f>
        <v>22.4</v>
      </c>
      <c r="Q269" s="331">
        <f ca="1">Q270+Q271</f>
        <v>50660</v>
      </c>
      <c r="R269" s="331">
        <f ca="1">R270+R271</f>
        <v>50660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IFERROR(__xludf.DUMMYFUNCTION("IMPORTRANGE(""https://docs.google.com/spreadsheets/d/1-uDff_7J0KD5mKrp0Vvzr7lt3OU09vwQwhkpOPPYv2Y/edit?usp=sharing"",""งบพรบ!DE85"")"),5000)</f>
        <v>5000</v>
      </c>
      <c r="M271" s="331">
        <f ca="1">IFERROR(__xludf.DUMMYFUNCTION("IMPORTRANGE(""https://docs.google.com/spreadsheets/d/1-uDff_7J0KD5mKrp0Vvzr7lt3OU09vwQwhkpOPPYv2Y/edit?usp=sharing"",""งบพรบ!DJ85"")"),5000)</f>
        <v>5000</v>
      </c>
      <c r="N271" s="331">
        <f ca="1">IFERROR(__xludf.DUMMYFUNCTION("IMPORTRANGE(""https://docs.google.com/spreadsheets/d/1-uDff_7J0KD5mKrp0Vvzr7lt3OU09vwQwhkpOPPYv2Y/edit?usp=sharing"",""งบพรบ!DL85"")"),1120)</f>
        <v>1120</v>
      </c>
      <c r="O271" s="331">
        <f ca="1">IF(L271&gt;0,N271*100/L271,0)</f>
        <v>22.4</v>
      </c>
      <c r="P271" s="331">
        <f ca="1">IF(M271&gt;0,N271*100/M271,0)</f>
        <v>22.4</v>
      </c>
      <c r="Q271" s="331">
        <f ca="1">IFERROR(__xludf.DUMMYFUNCTION("IMPORTRANGE(""https://docs.google.com/spreadsheets/d/1ItG2mGa2ceCfYo0BwxsXqNm01IGEUdYcSSLTEv9YCik/edit?usp=sharing"",""เบิกจ่ายกองทุน!AP85"")"),50660)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IFERROR(__xludf.DUMMYFUNCTION("IMPORTRANGE(""https://docs.google.com/spreadsheets/d/1ItG2mGa2ceCfYo0BwxsXqNm01IGEUdYcSSLTEv9YCik/edit?usp=sharing"",""เบิกจ่ายกองทุน!AR85"")"),0)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IFERROR(__xludf.DUMMYFUNCTION("IMPORTRANGE(""https://docs.google.com/spreadsheets/d/1-uDff_7J0KD5mKrp0Vvzr7lt3OU09vwQwhkpOPPYv2Y/edit?usp=sharing"",""งบพรบ!DH85"")"),0)</f>
        <v>0</v>
      </c>
      <c r="M274" s="331">
        <f ca="1">IFERROR(__xludf.DUMMYFUNCTION("IMPORTRANGE(""https://docs.google.com/spreadsheets/d/1-uDff_7J0KD5mKrp0Vvzr7lt3OU09vwQwhkpOPPYv2Y/edit?usp=sharing"",""งบพรบ!DK85"")"),0)</f>
        <v>0</v>
      </c>
      <c r="N274" s="331">
        <f ca="1">IFERROR(__xludf.DUMMYFUNCTION("IMPORTRANGE(""https://docs.google.com/spreadsheets/d/1-uDff_7J0KD5mKrp0Vvzr7lt3OU09vwQwhkpOPPYv2Y/edit?usp=sharing"",""งบพรบ!DM85"")"),0)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IFERROR(__xludf.DUMMYFUNCTION("IMPORTRANGE(""https://docs.google.com/spreadsheets/d/1eHaY18a8A9IcSdp1K8H6x8fbOy06t2VsZHhMHf-1x7Y/edit?usp=sharing"",""แผน!EC85"")"),22)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IFERROR(__xludf.DUMMYFUNCTION("IMPORTRANGE(""https://docs.google.com/spreadsheets/d/1eHaY18a8A9IcSdp1K8H6x8fbOy06t2VsZHhMHf-1x7Y/edit?usp=sharing"",""แผน!EJ85"")"),0)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340</v>
      </c>
      <c r="J332" s="697">
        <f ca="1">J344+J347+J348+J349+J353</f>
        <v>2716</v>
      </c>
      <c r="K332" s="696">
        <f ca="1">IF(I332&gt;0,J332*100/I332,0)</f>
        <v>798.82352941176475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1024000</v>
      </c>
      <c r="M333" s="132">
        <f ca="1">M334+M335</f>
        <v>1024000</v>
      </c>
      <c r="N333" s="132">
        <f ca="1">N334+N335</f>
        <v>120076.68</v>
      </c>
      <c r="O333" s="132">
        <f ca="1">IF(L333&gt;0,N333*100/L333,0)</f>
        <v>11.72623828125</v>
      </c>
      <c r="P333" s="132">
        <f ca="1">IF(M333&gt;0,N333*100/M333,0)</f>
        <v>11.72623828125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1024000</v>
      </c>
      <c r="M335" s="47">
        <f ca="1">M338+M341</f>
        <v>1024000</v>
      </c>
      <c r="N335" s="47">
        <f ca="1">N338+N341</f>
        <v>120076.68</v>
      </c>
      <c r="O335" s="47">
        <f ca="1">IF(L335&gt;0,N335*100/L335,0)</f>
        <v>11.72623828125</v>
      </c>
      <c r="P335" s="47">
        <f ca="1">IF(M335&gt;0,N335*100/M335,0)</f>
        <v>11.72623828125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174000</v>
      </c>
      <c r="M336" s="47">
        <f ca="1">M337+M338</f>
        <v>174000</v>
      </c>
      <c r="N336" s="47">
        <f ca="1">N337+N338</f>
        <v>120076.68</v>
      </c>
      <c r="O336" s="47">
        <f ca="1">IF(L336&gt;0,N336*100/L336,0)</f>
        <v>69.009586206896557</v>
      </c>
      <c r="P336" s="47">
        <f ca="1">IF(M336&gt;0,N336*100/M336,0)</f>
        <v>69.009586206896557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IFERROR(__xludf.DUMMYFUNCTION("IMPORTRANGE(""https://docs.google.com/spreadsheets/d/1-uDff_7J0KD5mKrp0Vvzr7lt3OU09vwQwhkpOPPYv2Y/edit?usp=sharing"",""งบพรบ!ES85"")"),174000)</f>
        <v>174000</v>
      </c>
      <c r="M338" s="47">
        <f ca="1">IFERROR(__xludf.DUMMYFUNCTION("IMPORTRANGE(""https://docs.google.com/spreadsheets/d/1-uDff_7J0KD5mKrp0Vvzr7lt3OU09vwQwhkpOPPYv2Y/edit?usp=sharing"",""งบพรบ!EX85"")"),174000)</f>
        <v>174000</v>
      </c>
      <c r="N338" s="47">
        <f ca="1">IFERROR(__xludf.DUMMYFUNCTION("IMPORTRANGE(""https://docs.google.com/spreadsheets/d/1-uDff_7J0KD5mKrp0Vvzr7lt3OU09vwQwhkpOPPYv2Y/edit?usp=sharing"",""งบพรบ!EZ85"")"),120076.68)</f>
        <v>120076.68</v>
      </c>
      <c r="O338" s="47">
        <f ca="1">IF(L338&gt;0,N338*100/L338,0)</f>
        <v>69.009586206896557</v>
      </c>
      <c r="P338" s="47">
        <f ca="1">IF(M338&gt;0,N338*100/M338,0)</f>
        <v>69.009586206896557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850000</v>
      </c>
      <c r="M339" s="47">
        <f ca="1">M340+M341</f>
        <v>850000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IFERROR(__xludf.DUMMYFUNCTION("IMPORTRANGE(""https://docs.google.com/spreadsheets/d/1-uDff_7J0KD5mKrp0Vvzr7lt3OU09vwQwhkpOPPYv2Y/edit?usp=sharing"",""งบพรบ!EV85"")"),850000)</f>
        <v>850000</v>
      </c>
      <c r="M341" s="47">
        <f ca="1">IFERROR(__xludf.DUMMYFUNCTION("IMPORTRANGE(""https://docs.google.com/spreadsheets/d/1-uDff_7J0KD5mKrp0Vvzr7lt3OU09vwQwhkpOPPYv2Y/edit?usp=sharing"",""งบพรบ!EY85"")"),850000)</f>
        <v>850000</v>
      </c>
      <c r="N341" s="47">
        <f ca="1">IFERROR(__xludf.DUMMYFUNCTION("IMPORTRANGE(""https://docs.google.com/spreadsheets/d/1-uDff_7J0KD5mKrp0Vvzr7lt3OU09vwQwhkpOPPYv2Y/edit?usp=sharing"",""งบพรบ!FA85"")"),0)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381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IFERROR(__xludf.DUMMYFUNCTION("IMPORTRANGE(""https://docs.google.com/spreadsheets/d/1eHaY18a8A9IcSdp1K8H6x8fbOy06t2VsZHhMHf-1x7Y/edit?usp=sharing"",""แผน!EK85"")"),340)</f>
        <v>340</v>
      </c>
      <c r="J344" s="152">
        <f ca="1">IFERROR(__xludf.DUMMYFUNCTION("IMPORTRANGE(""https://docs.google.com/spreadsheets/d/1awYsYK3VOup2i3Pq_Yjnu8DRu_mYwSBnCR2QPthd0rU/edit?usp=sharing"",""ศูนย์ยกเว้นโฉนด!D85"")"),262)</f>
        <v>262</v>
      </c>
      <c r="K344" s="47">
        <f ca="1">IF(I344&gt;0,J344*100/I344,0)</f>
        <v>77.058823529411768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IFERROR(__xludf.DUMMYFUNCTION("IMPORTRANGE(""https://docs.google.com/spreadsheets/d/1eHaY18a8A9IcSdp1K8H6x8fbOy06t2VsZHhMHf-1x7Y/edit?usp=sharing"",""แผน!EL85"")"),2)</f>
        <v>2</v>
      </c>
      <c r="J346" s="152">
        <f ca="1">IFERROR(__xludf.DUMMYFUNCTION("IMPORTRANGE(""https://docs.google.com/spreadsheets/d/1awYsYK3VOup2i3Pq_Yjnu8DRu_mYwSBnCR2QPthd0rU/edit?usp=sharing"",""ศูนย์รวม!E85"")"),1)</f>
        <v>1</v>
      </c>
      <c r="K346" s="47">
        <f ca="1">IF(I346&gt;0,J346*100/I346,0)</f>
        <v>50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2738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IFERROR(__xludf.DUMMYFUNCTION("IMPORTRANGE(""https://docs.google.com/spreadsheets/d/1awYsYK3VOup2i3Pq_Yjnu8DRu_mYwSBnCR2QPthd0rU/edit?usp=sharing"",""โฉนดM3!G85"")"),403)</f>
        <v>403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IFERROR(__xludf.DUMMYFUNCTION("IMPORTRANGE(""https://docs.google.com/spreadsheets/d/1awYsYK3VOup2i3Pq_Yjnu8DRu_mYwSBnCR2QPthd0rU/edit?usp=sharing"",""โฉนดM3!H85"")"),2335)</f>
        <v>2335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545480</v>
      </c>
      <c r="M356" s="132">
        <f ca="1">M357+M358</f>
        <v>622480</v>
      </c>
      <c r="N356" s="132">
        <f ca="1">N357+N358</f>
        <v>352294.67</v>
      </c>
      <c r="O356" s="132">
        <f ca="1">IF(L356&gt;0,N356*100/L356,0)</f>
        <v>64.584342230695896</v>
      </c>
      <c r="P356" s="132">
        <f ca="1">IF(M356&gt;0,N356*100/M356,0)</f>
        <v>56.595339609304716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545480</v>
      </c>
      <c r="M358" s="47">
        <f ca="1">M361+M364</f>
        <v>622480</v>
      </c>
      <c r="N358" s="47">
        <f ca="1">N361+N364</f>
        <v>352294.67</v>
      </c>
      <c r="O358" s="47">
        <f ca="1">IF(L358&gt;0,N358*100/L358,0)</f>
        <v>64.584342230695896</v>
      </c>
      <c r="P358" s="47">
        <f ca="1">IF(M358&gt;0,N358*100/M358,0)</f>
        <v>56.595339609304716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545480</v>
      </c>
      <c r="M359" s="47">
        <f ca="1">M360+M361</f>
        <v>622480</v>
      </c>
      <c r="N359" s="47">
        <f ca="1">N360+N361</f>
        <v>352294.67</v>
      </c>
      <c r="O359" s="47">
        <f ca="1">IF(L359&gt;0,N359*100/L359,0)</f>
        <v>64.584342230695896</v>
      </c>
      <c r="P359" s="47">
        <f ca="1">IF(M359&gt;0,N359*100/M359,0)</f>
        <v>56.595339609304716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IFERROR(__xludf.DUMMYFUNCTION("IMPORTRANGE(""https://docs.google.com/spreadsheets/d/1-uDff_7J0KD5mKrp0Vvzr7lt3OU09vwQwhkpOPPYv2Y/edit?usp=sharing"",""งบพรบ!FC85"")"),545480)</f>
        <v>545480</v>
      </c>
      <c r="M361" s="47">
        <f ca="1">IFERROR(__xludf.DUMMYFUNCTION("IMPORTRANGE(""https://docs.google.com/spreadsheets/d/1-uDff_7J0KD5mKrp0Vvzr7lt3OU09vwQwhkpOPPYv2Y/edit?usp=sharing"",""งบพรบ!FH85"")"),622480)</f>
        <v>622480</v>
      </c>
      <c r="N361" s="47">
        <f ca="1">IFERROR(__xludf.DUMMYFUNCTION("IMPORTRANGE(""https://docs.google.com/spreadsheets/d/1-uDff_7J0KD5mKrp0Vvzr7lt3OU09vwQwhkpOPPYv2Y/edit?usp=sharing"",""งบพรบ!FJ85"")"),352294.67)</f>
        <v>352294.67</v>
      </c>
      <c r="O361" s="47">
        <f ca="1">IF(L361&gt;0,N361*100/L361,0)</f>
        <v>64.584342230695896</v>
      </c>
      <c r="P361" s="47">
        <f ca="1">IF(M361&gt;0,N361*100/M361,0)</f>
        <v>56.595339609304716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74</v>
      </c>
      <c r="J365" s="228">
        <f ca="1">J371</f>
        <v>55</v>
      </c>
      <c r="K365" s="229">
        <f ca="1">IF(I365&gt;0,J365*100/I365,0)</f>
        <v>74.324324324324323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IFERROR(__xludf.DUMMYFUNCTION("IMPORTRANGE(""https://docs.google.com/spreadsheets/d/1tdoBKaGub7dwA3U6UFTqxio9LNnvDCQjHKmttSEBsFQ/edit?usp=sharing"",""จัดที่ดิน!AB85"")"),72)</f>
        <v>72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IFERROR(__xludf.DUMMYFUNCTION("IMPORTRANGE(""https://docs.google.com/spreadsheets/d/1eHaY18a8A9IcSdp1K8H6x8fbOy06t2VsZHhMHf-1x7Y/edit?usp=sharing"",""แผน!EW85"")"),410)</f>
        <v>410</v>
      </c>
      <c r="J368" s="685">
        <f ca="1">IFERROR(__xludf.DUMMYFUNCTION("IMPORTRANGE(""https://docs.google.com/spreadsheets/d/1tdoBKaGub7dwA3U6UFTqxio9LNnvDCQjHKmttSEBsFQ/edit?usp=sharing"",""จัดที่ดิน!AC85"")"),562.88)</f>
        <v>562.88</v>
      </c>
      <c r="K368" s="47">
        <f ca="1">IF(I368&gt;0,J368*100/I368,0)</f>
        <v>137.28780487804877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IFERROR(__xludf.DUMMYFUNCTION("IMPORTRANGE(""https://docs.google.com/spreadsheets/d/1eHaY18a8A9IcSdp1K8H6x8fbOy06t2VsZHhMHf-1x7Y/edit?usp=sharing"",""แผน!EX85"")"),74)</f>
        <v>74</v>
      </c>
      <c r="J369" s="152">
        <f ca="1">IFERROR(__xludf.DUMMYFUNCTION("IMPORTRANGE(""https://docs.google.com/spreadsheets/d/1tdoBKaGub7dwA3U6UFTqxio9LNnvDCQjHKmttSEBsFQ/edit?usp=sharing"",""จัดที่ดิน!AD85"")"),103)</f>
        <v>103</v>
      </c>
      <c r="K369" s="47">
        <f ca="1">IF(I369&gt;0,J369*100/I369,0)</f>
        <v>139.18918918918919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IFERROR(__xludf.DUMMYFUNCTION("IMPORTRANGE(""https://docs.google.com/spreadsheets/d/1tdoBKaGub7dwA3U6UFTqxio9LNnvDCQjHKmttSEBsFQ/edit?usp=sharing"",""จัดที่ดิน!AE85"")"),1328.49)</f>
        <v>1328.49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IFERROR(__xludf.DUMMYFUNCTION("IMPORTRANGE(""https://docs.google.com/spreadsheets/d/1eHaY18a8A9IcSdp1K8H6x8fbOy06t2VsZHhMHf-1x7Y/edit?usp=sharing"",""แผน!EY85"")"),74)</f>
        <v>74</v>
      </c>
      <c r="J371" s="152">
        <f ca="1">IFERROR(__xludf.DUMMYFUNCTION("IMPORTRANGE(""https://docs.google.com/spreadsheets/d/1tdoBKaGub7dwA3U6UFTqxio9LNnvDCQjHKmttSEBsFQ/edit?usp=sharing"",""จัดที่ดิน!AF85"")"),55)</f>
        <v>55</v>
      </c>
      <c r="K371" s="47">
        <f ca="1">IF(I371&gt;0,J371*100/I371,0)</f>
        <v>74.324324324324323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IFERROR(__xludf.DUMMYFUNCTION("IMPORTRANGE(""https://docs.google.com/spreadsheets/d/1tdoBKaGub7dwA3U6UFTqxio9LNnvDCQjHKmttSEBsFQ/edit?usp=sharing"",""จัดที่ดิน!AG85"")"),695.1)</f>
        <v>695.1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300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16908</v>
      </c>
      <c r="T375" s="132">
        <f ca="1">IF(Q375&gt;0,S375*100/Q375,0)</f>
        <v>90.176000000000002</v>
      </c>
      <c r="U375" s="132">
        <f ca="1">IF(R375&gt;0,S375*100/R375,0)</f>
        <v>90.176000000000002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16908</v>
      </c>
      <c r="T377" s="47">
        <f ca="1">IF(Q377&gt;0,S377*100/Q377,0)</f>
        <v>90.176000000000002</v>
      </c>
      <c r="U377" s="47">
        <f ca="1">IF(R377&gt;0,S377*100/R377,0)</f>
        <v>90.176000000000002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16908</v>
      </c>
      <c r="T378" s="47">
        <f ca="1">IF(Q378&gt;0,S378*100/Q378,0)</f>
        <v>90.176000000000002</v>
      </c>
      <c r="U378" s="47">
        <f ca="1">IF(R378&gt;0,S378*100/R378,0)</f>
        <v>90.176000000000002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IFERROR(__xludf.DUMMYFUNCTION("IMPORTRANGE(""https://docs.google.com/spreadsheets/d/1-uDff_7J0KD5mKrp0Vvzr7lt3OU09vwQwhkpOPPYv2Y/edit?usp=sharing"",""งบพรบ!IE85"")"),0)</f>
        <v>0</v>
      </c>
      <c r="M380" s="47">
        <f ca="1">IFERROR(__xludf.DUMMYFUNCTION("IMPORTRANGE(""https://docs.google.com/spreadsheets/d/1-uDff_7J0KD5mKrp0Vvzr7lt3OU09vwQwhkpOPPYv2Y/edit?usp=sharing"",""งบพรบ!IJ85"")"),0)</f>
        <v>0</v>
      </c>
      <c r="N380" s="47">
        <f ca="1">IFERROR(__xludf.DUMMYFUNCTION("IMPORTRANGE(""https://docs.google.com/spreadsheets/d/1-uDff_7J0KD5mKrp0Vvzr7lt3OU09vwQwhkpOPPYv2Y/edit?usp=sharing"",""งบพรบ!IL85"")"),0)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IFERROR(__xludf.DUMMYFUNCTION("IMPORTRANGE(""https://docs.google.com/spreadsheets/d/1ItG2mGa2ceCfYo0BwxsXqNm01IGEUdYcSSLTEv9YCik/edit?usp=sharing"",""เบิกจ่ายกองทุน!BY85"")"),16908)</f>
        <v>16908</v>
      </c>
      <c r="T380" s="47">
        <f ca="1">IF(Q380&gt;0,S380*100/Q380,0)</f>
        <v>90.176000000000002</v>
      </c>
      <c r="U380" s="47">
        <f ca="1">IF(R380&gt;0,S380*100/R380,0)</f>
        <v>90.176000000000002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IFERROR(__xludf.DUMMYFUNCTION("IMPORTRANGE(""https://docs.google.com/spreadsheets/d/1-uDff_7J0KD5mKrp0Vvzr7lt3OU09vwQwhkpOPPYv2Y/edit?usp=sharing"",""งบพรบ!IH85"")"),0)</f>
        <v>0</v>
      </c>
      <c r="M383" s="47">
        <f ca="1">IFERROR(__xludf.DUMMYFUNCTION("IMPORTRANGE(""https://docs.google.com/spreadsheets/d/1-uDff_7J0KD5mKrp0Vvzr7lt3OU09vwQwhkpOPPYv2Y/edit?usp=sharing"",""งบพรบ!IK85"")"),0)</f>
        <v>0</v>
      </c>
      <c r="N383" s="47">
        <f ca="1">IFERROR(__xludf.DUMMYFUNCTION("IMPORTRANGE(""https://docs.google.com/spreadsheets/d/1-uDff_7J0KD5mKrp0Vvzr7lt3OU09vwQwhkpOPPYv2Y/edit?usp=sharing"",""งบพรบ!IM85"")"),0)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IFERROR(__xludf.DUMMYFUNCTION("IMPORTRANGE(""https://docs.google.com/spreadsheets/d/1w5rwWK1o49a35cNtocGL0gxDwhFSTZUQu90BiH9_zqM/edit?usp=sharing"",""RTK!G85"")"),300)</f>
        <v>300</v>
      </c>
      <c r="J386" s="152">
        <f ca="1">IFERROR(__xludf.DUMMYFUNCTION("IMPORTRANGE(""https://docs.google.com/spreadsheets/d/1w5rwWK1o49a35cNtocGL0gxDwhFSTZUQu90BiH9_zqM/edit?usp=sharing"",""RTK!I85"")"),0)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IFERROR(__xludf.DUMMYFUNCTION("IMPORTRANGE(""https://docs.google.com/spreadsheets/d/1w5rwWK1o49a35cNtocGL0gxDwhFSTZUQu90BiH9_zqM/edit?usp=sharing"",""RTK!K85"")"),0)</f>
        <v>0</v>
      </c>
      <c r="J388" s="330">
        <f ca="1">IFERROR(__xludf.DUMMYFUNCTION("IMPORTRANGE(""https://docs.google.com/spreadsheets/d/1w5rwWK1o49a35cNtocGL0gxDwhFSTZUQu90BiH9_zqM/edit?usp=sharing"",""RTK!M85"")"),0)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9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IFERROR(__xludf.DUMMYFUNCTION("IMPORTRANGE(""https://docs.google.com/spreadsheets/d/1-uDff_7J0KD5mKrp0Vvzr7lt3OU09vwQwhkpOPPYv2Y/edit?usp=sharing"",""งบพรบ!IO85"")"),0)</f>
        <v>0</v>
      </c>
      <c r="M418" s="47">
        <f ca="1">IFERROR(__xludf.DUMMYFUNCTION("IMPORTRANGE(""https://docs.google.com/spreadsheets/d/1-uDff_7J0KD5mKrp0Vvzr7lt3OU09vwQwhkpOPPYv2Y/edit?usp=sharing"",""งบพรบ!IT85"")"),0)</f>
        <v>0</v>
      </c>
      <c r="N418" s="47">
        <f ca="1">IFERROR(__xludf.DUMMYFUNCTION("IMPORTRANGE(""https://docs.google.com/spreadsheets/d/1-uDff_7J0KD5mKrp0Vvzr7lt3OU09vwQwhkpOPPYv2Y/edit?usp=sharing"",""งบพรบ!IV85"")"),0)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IFERROR(__xludf.DUMMYFUNCTION("IMPORTRANGE(""https://docs.google.com/spreadsheets/d/1-uDff_7J0KD5mKrp0Vvzr7lt3OU09vwQwhkpOPPYv2Y/edit?usp=sharing"",""งบพรบ!IR85"")"),0)</f>
        <v>0</v>
      </c>
      <c r="M421" s="47">
        <f ca="1">IFERROR(__xludf.DUMMYFUNCTION("IMPORTRANGE(""https://docs.google.com/spreadsheets/d/1-uDff_7J0KD5mKrp0Vvzr7lt3OU09vwQwhkpOPPYv2Y/edit?usp=sharing"",""งบพรบ!IU85"")"),0)</f>
        <v>0</v>
      </c>
      <c r="N421" s="47">
        <f ca="1">IFERROR(__xludf.DUMMYFUNCTION("IMPORTRANGE(""https://docs.google.com/spreadsheets/d/1-uDff_7J0KD5mKrp0Vvzr7lt3OU09vwQwhkpOPPYv2Y/edit?usp=sharing"",""งบพรบ!IW85"")"),0)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IFERROR(__xludf.DUMMYFUNCTION("IMPORTRANGE(""https://docs.google.com/spreadsheets/d/1eHaY18a8A9IcSdp1K8H6x8fbOy06t2VsZHhMHf-1x7Y/edit?usp=sharing"",""แผน!HJ85"")"),0)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IFERROR(__xludf.DUMMYFUNCTION("IMPORTRANGE(""https://docs.google.com/spreadsheets/d/1eHaY18a8A9IcSdp1K8H6x8fbOy06t2VsZHhMHf-1x7Y/edit?usp=sharing"",""แผน!HK85"")"),0)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IFERROR(__xludf.DUMMYFUNCTION("IMPORTRANGE(""https://docs.google.com/spreadsheets/d/1eHaY18a8A9IcSdp1K8H6x8fbOy06t2VsZHhMHf-1x7Y/edit?usp=sharing"",""แผน!HJ85"")"),0)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IFERROR(__xludf.DUMMYFUNCTION("IMPORTRANGE(""https://docs.google.com/spreadsheets/d/1eHaY18a8A9IcSdp1K8H6x8fbOy06t2VsZHhMHf-1x7Y/edit?usp=sharing"",""แผน!HK85"")"),0)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IFERROR(__xludf.DUMMYFUNCTION("IMPORTRANGE(""https://docs.google.com/spreadsheets/d/1eHaY18a8A9IcSdp1K8H6x8fbOy06t2VsZHhMHf-1x7Y/edit?usp=sharing"",""แผน!HJ85"")"),0)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IFERROR(__xludf.DUMMYFUNCTION("IMPORTRANGE(""https://docs.google.com/spreadsheets/d/1eHaY18a8A9IcSdp1K8H6x8fbOy06t2VsZHhMHf-1x7Y/edit?usp=sharing"",""แผน!HK85"")"),0)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IFERROR(__xludf.DUMMYFUNCTION("IMPORTRANGE(""https://docs.google.com/spreadsheets/d/1eHaY18a8A9IcSdp1K8H6x8fbOy06t2VsZHhMHf-1x7Y/edit?usp=sharing"",""แผน!HL85"")"),0)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IFERROR(__xludf.DUMMYFUNCTION("IMPORTRANGE(""https://docs.google.com/spreadsheets/d/1eHaY18a8A9IcSdp1K8H6x8fbOy06t2VsZHhMHf-1x7Y/edit?usp=sharing"",""แผน!HM85"")"),0)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IFERROR(__xludf.DUMMYFUNCTION("IMPORTRANGE(""https://docs.google.com/spreadsheets/d/1-uDff_7J0KD5mKrp0Vvzr7lt3OU09vwQwhkpOPPYv2Y/edit?usp=sharing"",""งบพรบ!HU85"")"),0)</f>
        <v>0</v>
      </c>
      <c r="M498" s="47">
        <f ca="1">IFERROR(__xludf.DUMMYFUNCTION("IMPORTRANGE(""https://docs.google.com/spreadsheets/d/1-uDff_7J0KD5mKrp0Vvzr7lt3OU09vwQwhkpOPPYv2Y/edit?usp=sharing"",""งบพรบ!HZ85"")"),0)</f>
        <v>0</v>
      </c>
      <c r="N498" s="47">
        <f ca="1">IFERROR(__xludf.DUMMYFUNCTION("IMPORTRANGE(""https://docs.google.com/spreadsheets/d/1-uDff_7J0KD5mKrp0Vvzr7lt3OU09vwQwhkpOPPYv2Y/edit?usp=sharing"",""งบพรบ!IB85"")"),0)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IFERROR(__xludf.DUMMYFUNCTION("IMPORTRANGE(""https://docs.google.com/spreadsheets/d/1ItG2mGa2ceCfYo0BwxsXqNm01IGEUdYcSSLTEv9YCik/edit?usp=sharing"",""เบิกจ่ายกองทุน!AF85"")"),0)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IFERROR(__xludf.DUMMYFUNCTION("IMPORTRANGE(""https://docs.google.com/spreadsheets/d/1-uDff_7J0KD5mKrp0Vvzr7lt3OU09vwQwhkpOPPYv2Y/edit?usp=sharing"",""งบพรบ!HX85"")"),0)</f>
        <v>0</v>
      </c>
      <c r="M501" s="47">
        <f ca="1">IFERROR(__xludf.DUMMYFUNCTION("IMPORTRANGE(""https://docs.google.com/spreadsheets/d/1-uDff_7J0KD5mKrp0Vvzr7lt3OU09vwQwhkpOPPYv2Y/edit?usp=sharing"",""งบพรบ!IA85"")"),0)</f>
        <v>0</v>
      </c>
      <c r="N501" s="47">
        <f ca="1">IFERROR(__xludf.DUMMYFUNCTION("IMPORTRANGE(""https://docs.google.com/spreadsheets/d/1-uDff_7J0KD5mKrp0Vvzr7lt3OU09vwQwhkpOPPYv2Y/edit?usp=sharing"",""งบพรบ!IC85"")"),0)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IFERROR(__xludf.DUMMYFUNCTION("IMPORTRANGE(""https://docs.google.com/spreadsheets/d/1eHaY18a8A9IcSdp1K8H6x8fbOy06t2VsZHhMHf-1x7Y/edit?usp=sharing"",""แผน!GX85"")"),0)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IFERROR(__xludf.DUMMYFUNCTION("IMPORTRANGE(""https://docs.google.com/spreadsheets/d/1eHaY18a8A9IcSdp1K8H6x8fbOy06t2VsZHhMHf-1x7Y/edit?usp=sharing"",""แผน!GY85"")"),0)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IFERROR(__xludf.DUMMYFUNCTION("IMPORTRANGE(""https://docs.google.com/spreadsheets/d/1eHaY18a8A9IcSdp1K8H6x8fbOy06t2VsZHhMHf-1x7Y/edit?usp=sharing"",""แผน!GZ85"")"),0)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IFERROR(__xludf.DUMMYFUNCTION("IMPORTRANGE(""https://docs.google.com/spreadsheets/d/1eHaY18a8A9IcSdp1K8H6x8fbOy06t2VsZHhMHf-1x7Y/edit?usp=sharing"",""แผน!HA85"")"),0)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IFERROR(__xludf.DUMMYFUNCTION("IMPORTRANGE(""https://docs.google.com/spreadsheets/d/1eHaY18a8A9IcSdp1K8H6x8fbOy06t2VsZHhMHf-1x7Y/edit?usp=sharing"",""แผน!HB85"")"),0)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IFERROR(__xludf.DUMMYFUNCTION("IMPORTRANGE(""https://docs.google.com/spreadsheets/d/1-uDff_7J0KD5mKrp0Vvzr7lt3OU09vwQwhkpOPPYv2Y/edit?usp=sharing"",""งบพรบ!FW85"")"),0)</f>
        <v>0</v>
      </c>
      <c r="M539" s="47">
        <f ca="1">IFERROR(__xludf.DUMMYFUNCTION("IMPORTRANGE(""https://docs.google.com/spreadsheets/d/1-uDff_7J0KD5mKrp0Vvzr7lt3OU09vwQwhkpOPPYv2Y/edit?usp=sharing"",""งบพรบ!GB85"")"),0)</f>
        <v>0</v>
      </c>
      <c r="N539" s="47">
        <f ca="1">IFERROR(__xludf.DUMMYFUNCTION("IMPORTRANGE(""https://docs.google.com/spreadsheets/d/1-uDff_7J0KD5mKrp0Vvzr7lt3OU09vwQwhkpOPPYv2Y/edit?usp=sharing"",""งบพรบ!GD85"")"),0)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IFERROR(__xludf.DUMMYFUNCTION("IMPORTRANGE(""https://docs.google.com/spreadsheets/d/1-uDff_7J0KD5mKrp0Vvzr7lt3OU09vwQwhkpOPPYv2Y/edit?usp=sharing"",""งบพรบ!FZ85"")"),0)</f>
        <v>0</v>
      </c>
      <c r="M542" s="47">
        <f ca="1">IFERROR(__xludf.DUMMYFUNCTION("IMPORTRANGE(""https://docs.google.com/spreadsheets/d/1-uDff_7J0KD5mKrp0Vvzr7lt3OU09vwQwhkpOPPYv2Y/edit?usp=sharing"",""งบพรบ!GC85"")"),0)</f>
        <v>0</v>
      </c>
      <c r="N542" s="47">
        <f ca="1">IFERROR(__xludf.DUMMYFUNCTION("IMPORTRANGE(""https://docs.google.com/spreadsheets/d/1-uDff_7J0KD5mKrp0Vvzr7lt3OU09vwQwhkpOPPYv2Y/edit?usp=sharing"",""งบพรบ!GE85"")"),0)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IFERROR(__xludf.DUMMYFUNCTION("IMPORTRANGE(""https://docs.google.com/spreadsheets/d/1-uDff_7J0KD5mKrp0Vvzr7lt3OU09vwQwhkpOPPYv2Y/edit?usp=sharing"",""งบพรบ!GG85"")"),0)</f>
        <v>0</v>
      </c>
      <c r="M560" s="47">
        <f ca="1">IFERROR(__xludf.DUMMYFUNCTION("IMPORTRANGE(""https://docs.google.com/spreadsheets/d/1-uDff_7J0KD5mKrp0Vvzr7lt3OU09vwQwhkpOPPYv2Y/edit?usp=sharing"",""งบพรบ!GL85"")"),0)</f>
        <v>0</v>
      </c>
      <c r="N560" s="47">
        <f ca="1">IFERROR(__xludf.DUMMYFUNCTION("IMPORTRANGE(""https://docs.google.com/spreadsheets/d/1-uDff_7J0KD5mKrp0Vvzr7lt3OU09vwQwhkpOPPYv2Y/edit?usp=sharing"",""งบพรบ!GN85"")"),0)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IFERROR(__xludf.DUMMYFUNCTION("IMPORTRANGE(""https://docs.google.com/spreadsheets/d/1-uDff_7J0KD5mKrp0Vvzr7lt3OU09vwQwhkpOPPYv2Y/edit?usp=sharing"",""งบพรบ!GJ85"")"),0)</f>
        <v>0</v>
      </c>
      <c r="M563" s="47">
        <f ca="1">IFERROR(__xludf.DUMMYFUNCTION("IMPORTRANGE(""https://docs.google.com/spreadsheets/d/1-uDff_7J0KD5mKrp0Vvzr7lt3OU09vwQwhkpOPPYv2Y/edit?usp=sharing"",""งบพรบ!GM85"")"),0)</f>
        <v>0</v>
      </c>
      <c r="N563" s="47">
        <f ca="1">IFERROR(__xludf.DUMMYFUNCTION("IMPORTRANGE(""https://docs.google.com/spreadsheets/d/1-uDff_7J0KD5mKrp0Vvzr7lt3OU09vwQwhkpOPPYv2Y/edit?usp=sharing"",""งบพรบ!GO85"")"),0)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IFERROR(__xludf.DUMMYFUNCTION("IMPORTRANGE(""https://docs.google.com/spreadsheets/d/1-uDff_7J0KD5mKrp0Vvzr7lt3OU09vwQwhkpOPPYv2Y/edit?usp=sharing"",""งบพรบ!GQ85"")"),0)</f>
        <v>0</v>
      </c>
      <c r="M581" s="47">
        <f ca="1">IFERROR(__xludf.DUMMYFUNCTION("IMPORTRANGE(""https://docs.google.com/spreadsheets/d/1-uDff_7J0KD5mKrp0Vvzr7lt3OU09vwQwhkpOPPYv2Y/edit?usp=sharing"",""งบพรบ!GV85"")"),0)</f>
        <v>0</v>
      </c>
      <c r="N581" s="47">
        <f ca="1">IFERROR(__xludf.DUMMYFUNCTION("IMPORTRANGE(""https://docs.google.com/spreadsheets/d/1-uDff_7J0KD5mKrp0Vvzr7lt3OU09vwQwhkpOPPYv2Y/edit?usp=sharing"",""งบพรบ!GX85"")"),0)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IFERROR(__xludf.DUMMYFUNCTION("IMPORTRANGE(""https://docs.google.com/spreadsheets/d/1-uDff_7J0KD5mKrp0Vvzr7lt3OU09vwQwhkpOPPYv2Y/edit?usp=sharing"",""งบพรบ!GT85"")"),0)</f>
        <v>0</v>
      </c>
      <c r="M584" s="47">
        <f ca="1">IFERROR(__xludf.DUMMYFUNCTION("IMPORTRANGE(""https://docs.google.com/spreadsheets/d/1-uDff_7J0KD5mKrp0Vvzr7lt3OU09vwQwhkpOPPYv2Y/edit?usp=sharing"",""งบพรบ!GW85"")"),0)</f>
        <v>0</v>
      </c>
      <c r="N584" s="47">
        <f ca="1">IFERROR(__xludf.DUMMYFUNCTION("IMPORTRANGE(""https://docs.google.com/spreadsheets/d/1-uDff_7J0KD5mKrp0Vvzr7lt3OU09vwQwhkpOPPYv2Y/edit?usp=sharing"",""งบพรบ!GY85"")"),0)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10980</v>
      </c>
      <c r="M599" s="421">
        <f ca="1">M600+M601</f>
        <v>10980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10980</v>
      </c>
      <c r="M601" s="331">
        <f ca="1">M604+M607</f>
        <v>10980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10980</v>
      </c>
      <c r="M602" s="331">
        <f ca="1">M603+M604</f>
        <v>10980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IFERROR(__xludf.DUMMYFUNCTION("IMPORTRANGE(""https://docs.google.com/spreadsheets/d/1-uDff_7J0KD5mKrp0Vvzr7lt3OU09vwQwhkpOPPYv2Y/edit?usp=sharing"",""งบพรบ!HK85"")"),10980)</f>
        <v>10980</v>
      </c>
      <c r="M604" s="331">
        <f ca="1">IFERROR(__xludf.DUMMYFUNCTION("IMPORTRANGE(""https://docs.google.com/spreadsheets/d/1-uDff_7J0KD5mKrp0Vvzr7lt3OU09vwQwhkpOPPYv2Y/edit?usp=sharing"",""งบพรบ!HP85"")"),10980)</f>
        <v>10980</v>
      </c>
      <c r="N604" s="331">
        <f ca="1">IFERROR(__xludf.DUMMYFUNCTION("IMPORTRANGE(""https://docs.google.com/spreadsheets/d/1-uDff_7J0KD5mKrp0Vvzr7lt3OU09vwQwhkpOPPYv2Y/edit?usp=sharing"",""งบพรบ!HR85"")"),0)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IFERROR(__xludf.DUMMYFUNCTION("IMPORTRANGE(""https://docs.google.com/spreadsheets/d/1ItG2mGa2ceCfYo0BwxsXqNm01IGEUdYcSSLTEv9YCik/edit?usp=sharing"",""เบิกจ่ายกองทุน!AV85"")"),0)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IFERROR(__xludf.DUMMYFUNCTION("IMPORTRANGE(""https://docs.google.com/spreadsheets/d/1ItG2mGa2ceCfYo0BwxsXqNm01IGEUdYcSSLTEv9YCik/edit?usp=sharing"",""เบิกจ่ายกองทุน!AW85"")"),0)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IFERROR(__xludf.DUMMYFUNCTION("IMPORTRANGE(""https://docs.google.com/spreadsheets/d/1ItG2mGa2ceCfYo0BwxsXqNm01IGEUdYcSSLTEv9YCik/edit?usp=sharing"",""เบิกจ่ายกองทุน!AX85"")"),0)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IFERROR(__xludf.DUMMYFUNCTION("IMPORTRANGE(""https://docs.google.com/spreadsheets/d/1-uDff_7J0KD5mKrp0Vvzr7lt3OU09vwQwhkpOPPYv2Y/edit?usp=sharing"",""งบพรบ!HN85"")"),0)</f>
        <v>0</v>
      </c>
      <c r="M607" s="331">
        <f ca="1">IFERROR(__xludf.DUMMYFUNCTION("IMPORTRANGE(""https://docs.google.com/spreadsheets/d/1-uDff_7J0KD5mKrp0Vvzr7lt3OU09vwQwhkpOPPYv2Y/edit?usp=sharing"",""งบพรบ!HQ85"")"),0)</f>
        <v>0</v>
      </c>
      <c r="N607" s="331">
        <f ca="1">IFERROR(__xludf.DUMMYFUNCTION("IMPORTRANGE(""https://docs.google.com/spreadsheets/d/1-uDff_7J0KD5mKrp0Vvzr7lt3OU09vwQwhkpOPPYv2Y/edit?usp=sharing"",""งบพรบ!HS85"")"),0)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IFERROR(__xludf.DUMMYFUNCTION("IMPORTRANGE(""https://docs.google.com/spreadsheets/d/1ItG2mGa2ceCfYo0BwxsXqNm01IGEUdYcSSLTEv9YCik/edit?usp=sharing"",""เบิกจ่ายกองทุน!AY85"")"),0)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IFERROR(__xludf.DUMMYFUNCTION("IMPORTRANGE(""https://docs.google.com/spreadsheets/d/1ItG2mGa2ceCfYo0BwxsXqNm01IGEUdYcSSLTEv9YCik/edit?usp=sharing"",""เบิกจ่ายกองทุน!AZ85"")"),0)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IFERROR(__xludf.DUMMYFUNCTION("IMPORTRANGE(""https://docs.google.com/spreadsheets/d/1ItG2mGa2ceCfYo0BwxsXqNm01IGEUdYcSSLTEv9YCik/edit?usp=sharing"",""เบิกจ่ายกองทุน!BA85"")"),0)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1725</v>
      </c>
      <c r="R616" s="132">
        <f ca="1">R617+R618</f>
        <v>1725</v>
      </c>
      <c r="S616" s="132">
        <f ca="1">S617+S618</f>
        <v>1725</v>
      </c>
      <c r="T616" s="132">
        <f ca="1">IF(Q616&gt;0,S616*100/Q616,0)</f>
        <v>100</v>
      </c>
      <c r="U616" s="132">
        <f ca="1">IF(R616&gt;0,S616*100/R616,0)</f>
        <v>100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1725</v>
      </c>
      <c r="R618" s="47">
        <f ca="1">R621+R624</f>
        <v>1725</v>
      </c>
      <c r="S618" s="47">
        <f ca="1">S621+S624</f>
        <v>1725</v>
      </c>
      <c r="T618" s="47">
        <f ca="1">IF(Q618&gt;0,S618*100/Q618,0)</f>
        <v>100</v>
      </c>
      <c r="U618" s="47">
        <f ca="1">IF(R618&gt;0,S618*100/R618,0)</f>
        <v>100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1725</v>
      </c>
      <c r="R619" s="47">
        <f ca="1">R620+R621</f>
        <v>1725</v>
      </c>
      <c r="S619" s="47">
        <f ca="1">S620+S621</f>
        <v>1725</v>
      </c>
      <c r="T619" s="47">
        <f ca="1">IF(Q619&gt;0,S619*100/Q619,0)</f>
        <v>100</v>
      </c>
      <c r="U619" s="47">
        <f ca="1">IF(R619&gt;0,S619*100/R619,0)</f>
        <v>100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IFERROR(__xludf.DUMMYFUNCTION("IMPORTRANGE(""https://docs.google.com/spreadsheets/d/1ItG2mGa2ceCfYo0BwxsXqNm01IGEUdYcSSLTEv9YCik/edit?usp=sharing"",""เบิกจ่ายกองทุน!H85"")"),1725)</f>
        <v>1725</v>
      </c>
      <c r="T621" s="47">
        <f ca="1">IF(Q621&gt;0,S621*100/Q621,0)</f>
        <v>100</v>
      </c>
      <c r="U621" s="47">
        <f ca="1">IF(R621&gt;0,S621*100/R621,0)</f>
        <v>100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IFERROR(__xludf.DUMMYFUNCTION("IMPORTRANGE(""https://docs.google.com/spreadsheets/d/1eHaY18a8A9IcSdp1K8H6x8fbOy06t2VsZHhMHf-1x7Y/edit?usp=sharing"",""แผน!IC85"")"),1)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IFERROR(__xludf.DUMMYFUNCTION("IMPORTRANGE(""https://docs.google.com/spreadsheets/d/1eHaY18a8A9IcSdp1K8H6x8fbOy06t2VsZHhMHf-1x7Y/edit?usp=sharing"",""แผน!IF85"")"),0)</f>
        <v>0</v>
      </c>
      <c r="J652" s="15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IFERROR(__xludf.DUMMYFUNCTION("IMPORTRANGE(""https://docs.google.com/spreadsheets/d/1eHaY18a8A9IcSdp1K8H6x8fbOy06t2VsZHhMHf-1x7Y/edit?usp=sharing"",""แผน!IG85"")"),0)</f>
        <v>0</v>
      </c>
      <c r="J653" s="15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IFERROR(__xludf.DUMMYFUNCTION("IMPORTRANGE(""https://docs.google.com/spreadsheets/d/1eHaY18a8A9IcSdp1K8H6x8fbOy06t2VsZHhMHf-1x7Y/edit?usp=sharing"",""แผน!IL85"")"),0)</f>
        <v>0</v>
      </c>
      <c r="J673" s="15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IFERROR(__xludf.DUMMYFUNCTION("IMPORTRANGE(""https://docs.google.com/spreadsheets/d/1eHaY18a8A9IcSdp1K8H6x8fbOy06t2VsZHhMHf-1x7Y/edit?usp=sharing"",""แผน!IO85"")"),0)</f>
        <v>0</v>
      </c>
      <c r="J676" s="15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IFERROR(__xludf.DUMMYFUNCTION("IMPORTRANGE(""https://docs.google.com/spreadsheets/d/1eHaY18a8A9IcSdp1K8H6x8fbOy06t2VsZHhMHf-1x7Y/edit?usp=sharing"",""แผน!IP85"")"),0)</f>
        <v>0</v>
      </c>
      <c r="J678" s="15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IFERROR(__xludf.DUMMYFUNCTION("IMPORTRANGE(""https://docs.google.com/spreadsheets/d/1eHaY18a8A9IcSdp1K8H6x8fbOy06t2VsZHhMHf-1x7Y/edit?usp=sharing"",""แผน!IQ85"")"),0)</f>
        <v>0</v>
      </c>
      <c r="J679" s="15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IFERROR(__xludf.DUMMYFUNCTION("IMPORTRANGE(""https://docs.google.com/spreadsheets/d/1eHaY18a8A9IcSdp1K8H6x8fbOy06t2VsZHhMHf-1x7Y/edit?usp=sharing"",""แผน!IR85"")"),0)</f>
        <v>0</v>
      </c>
      <c r="J681" s="15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66220</v>
      </c>
      <c r="R690" s="132">
        <f ca="1">R691+R692</f>
        <v>66220</v>
      </c>
      <c r="S690" s="132">
        <f ca="1">S691+S692</f>
        <v>36768.089999999997</v>
      </c>
      <c r="T690" s="132">
        <f ca="1">IF(Q690&gt;0,S690*100/Q690,0)</f>
        <v>55.524146783449105</v>
      </c>
      <c r="U690" s="132">
        <f ca="1">IF(R690&gt;0,S690*100/R690,0)</f>
        <v>55.524146783449105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66220</v>
      </c>
      <c r="R692" s="47">
        <f ca="1">R695+R698</f>
        <v>66220</v>
      </c>
      <c r="S692" s="47">
        <f ca="1">S695+S698</f>
        <v>36768.089999999997</v>
      </c>
      <c r="T692" s="47">
        <f ca="1">IF(Q692&gt;0,S692*100/Q692,0)</f>
        <v>55.524146783449105</v>
      </c>
      <c r="U692" s="47">
        <f ca="1">IF(R692&gt;0,S692*100/R692,0)</f>
        <v>55.524146783449105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66220</v>
      </c>
      <c r="R693" s="47">
        <f ca="1">R694+R695</f>
        <v>66220</v>
      </c>
      <c r="S693" s="47">
        <f ca="1">S694+S695</f>
        <v>36768.089999999997</v>
      </c>
      <c r="T693" s="47">
        <f ca="1">IF(Q693&gt;0,S693*100/Q693,0)</f>
        <v>55.524146783449105</v>
      </c>
      <c r="U693" s="47">
        <f ca="1">IF(R693&gt;0,S693*100/R693,0)</f>
        <v>55.524146783449105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5" s="47">
        <f ca="1">IFERROR(__xludf.DUMMYFUNCTION("IMPORTRANGE(""https://docs.google.com/spreadsheets/d/1ItG2mGa2ceCfYo0BwxsXqNm01IGEUdYcSSLTEv9YCik/edit?usp=sharing"",""เบิกจ่ายกองทุน!N85"")"),36768.09)</f>
        <v>36768.089999999997</v>
      </c>
      <c r="T695" s="47">
        <f ca="1">IF(Q695&gt;0,S695*100/Q695,0)</f>
        <v>55.524146783449105</v>
      </c>
      <c r="U695" s="47">
        <f ca="1">IF(R695&gt;0,S695*100/R695,0)</f>
        <v>55.524146783449105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IFERROR(__xludf.DUMMYFUNCTION("IMPORTRANGE(""https://docs.google.com/spreadsheets/d/1eHaY18a8A9IcSdp1K8H6x8fbOy06t2VsZHhMHf-1x7Y/edit?usp=sharing"",""แผน!LJ85"")"),0)</f>
        <v>0</v>
      </c>
      <c r="J703" s="15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IFERROR(__xludf.DUMMYFUNCTION("IMPORTRANGE(""https://docs.google.com/spreadsheets/d/1eHaY18a8A9IcSdp1K8H6x8fbOy06t2VsZHhMHf-1x7Y/edit?usp=sharing"",""แผน!LK85"")"),3)</f>
        <v>3</v>
      </c>
      <c r="J705" s="152">
        <f ca="1">IFERROR(__xludf.DUMMYFUNCTION("IMPORTRANGE(""https://docs.google.com/spreadsheets/d/1tdoBKaGub7dwA3U6UFTqxio9LNnvDCQjHKmttSEBsFQ/edit?usp=sharing"",""จัดที่ดิน!AR85"")"),0)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IFERROR(__xludf.DUMMYFUNCTION("IMPORTRANGE(""https://docs.google.com/spreadsheets/d/1eHaY18a8A9IcSdp1K8H6x8fbOy06t2VsZHhMHf-1x7Y/edit?usp=sharing"",""แผน!LJ85"")"),0)</f>
        <v>0</v>
      </c>
      <c r="J707" s="15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IFERROR(__xludf.DUMMYFUNCTION("IMPORTRANGE(""https://docs.google.com/spreadsheets/d/1eHaY18a8A9IcSdp1K8H6x8fbOy06t2VsZHhMHf-1x7Y/edit?usp=sharing"",""แผน!LK85"")"),3)</f>
        <v>3</v>
      </c>
      <c r="J709" s="152">
        <f ca="1">IFERROR(__xludf.DUMMYFUNCTION("IMPORTRANGE(""https://docs.google.com/spreadsheets/d/1tdoBKaGub7dwA3U6UFTqxio9LNnvDCQjHKmttSEBsFQ/edit?usp=sharing"",""จัดที่ดิน!BP85"")"),6)</f>
        <v>6</v>
      </c>
      <c r="K709" s="47">
        <f ca="1">IF(I709&gt;0,J709*100/I709,0)</f>
        <v>200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IFERROR(__xludf.DUMMYFUNCTION("IMPORTRANGE(""https://docs.google.com/spreadsheets/d/1eHaY18a8A9IcSdp1K8H6x8fbOy06t2VsZHhMHf-1x7Y/edit?usp=sharing"",""แผน!GA85"")"),51)</f>
        <v>51</v>
      </c>
      <c r="J726" s="483">
        <f>J742+J746+J749</f>
        <v>51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IFERROR(__xludf.DUMMYFUNCTION("IMPORTRANGE(""https://docs.google.com/spreadsheets/d/1eHaY18a8A9IcSdp1K8H6x8fbOy06t2VsZHhMHf-1x7Y/edit?usp=sharing"",""แผน!FZ85"")"),500)</f>
        <v>500</v>
      </c>
      <c r="J727" s="483">
        <f>J752+J755</f>
        <v>570</v>
      </c>
      <c r="K727" s="484">
        <f ca="1">IF(I727&gt;0,J727*100/I727,0)</f>
        <v>114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57500.01</v>
      </c>
      <c r="T728" s="132">
        <f ca="1">IF(Q728&gt;0,S728*100/Q728,0)</f>
        <v>15.167904719195969</v>
      </c>
      <c r="U728" s="132">
        <f ca="1">IF(R728&gt;0,S728*100/R728,0)</f>
        <v>15.167904719195969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57500.01</v>
      </c>
      <c r="T730" s="47">
        <f ca="1">IF(Q730&gt;0,S730*100/Q730,0)</f>
        <v>15.167904719195969</v>
      </c>
      <c r="U730" s="47">
        <f ca="1">IF(R730&gt;0,S730*100/R730,0)</f>
        <v>15.167904719195969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57500.01</v>
      </c>
      <c r="T731" s="47">
        <f ca="1">IF(Q731&gt;0,S731*100/Q731,0)</f>
        <v>15.167904719195969</v>
      </c>
      <c r="U731" s="47">
        <f ca="1">IF(R731&gt;0,S731*100/R731,0)</f>
        <v>15.167904719195969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IFERROR(__xludf.DUMMYFUNCTION("IMPORTRANGE(""https://docs.google.com/spreadsheets/d/1ItG2mGa2ceCfYo0BwxsXqNm01IGEUdYcSSLTEv9YCik/edit?usp=sharing"",""เบิกจ่ายกองทุน!Q85"")"),57500.01)</f>
        <v>57500.01</v>
      </c>
      <c r="T733" s="47">
        <f ca="1">IF(Q733&gt;0,S733*100/Q733,0)</f>
        <v>15.167904719195969</v>
      </c>
      <c r="U733" s="47">
        <f ca="1">IF(R733&gt;0,S733*100/R733,0)</f>
        <v>15.167904719195969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432"/>
      <c r="B739" s="433"/>
      <c r="C739" s="433"/>
      <c r="D739" s="433"/>
      <c r="E739" s="438" t="s">
        <v>273</v>
      </c>
      <c r="F739" s="433"/>
      <c r="G739" s="439"/>
      <c r="H739" s="328"/>
      <c r="I739" s="420"/>
      <c r="J739" s="420"/>
      <c r="K739" s="332"/>
      <c r="L739" s="553"/>
      <c r="M739" s="332"/>
      <c r="N739" s="332"/>
      <c r="O739" s="332"/>
      <c r="P739" s="332"/>
      <c r="Q739" s="332"/>
      <c r="R739" s="332"/>
      <c r="S739" s="332"/>
      <c r="T739" s="332"/>
      <c r="U739" s="332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IFERROR(__xludf.DUMMYFUNCTION("IMPORTRANGE(""https://docs.google.com/spreadsheets/d/1eHaY18a8A9IcSdp1K8H6x8fbOy06t2VsZHhMHf-1x7Y/edit?usp=sharing"",""แผน!GB85"")"),400)</f>
        <v>400</v>
      </c>
      <c r="J740" s="554">
        <v>455</v>
      </c>
      <c r="K740" s="331">
        <f ca="1">IF(I740&gt;0,J740*100/I740,0)</f>
        <v>113.75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40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IFERROR(__xludf.DUMMYFUNCTION("IMPORTRANGE(""https://docs.google.com/spreadsheets/d/1eHaY18a8A9IcSdp1K8H6x8fbOy06t2VsZHhMHf-1x7Y/edit?usp=sharing"",""แผน!GC85"")"),40)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IFERROR(__xludf.DUMMYFUNCTION("IMPORTRANGE(""https://docs.google.com/spreadsheets/d/1eHaY18a8A9IcSdp1K8H6x8fbOy06t2VsZHhMHf-1x7Y/edit?usp=sharing"",""แผน!GD85"")"),100)</f>
        <v>100</v>
      </c>
      <c r="J744" s="554">
        <v>115</v>
      </c>
      <c r="K744" s="331">
        <f ca="1">IF(I744&gt;0,J744*100/I744,0)</f>
        <v>115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10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IFERROR(__xludf.DUMMYFUNCTION("IMPORTRANGE(""https://docs.google.com/spreadsheets/d/1eHaY18a8A9IcSdp1K8H6x8fbOy06t2VsZHhMHf-1x7Y/edit?usp=sharing"",""แผน!GE85"")"),10)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8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IFERROR(__xludf.DUMMYFUNCTION("IMPORTRANGE(""https://docs.google.com/spreadsheets/d/1eHaY18a8A9IcSdp1K8H6x8fbOy06t2VsZHhMHf-1x7Y/edit?usp=sharing"",""แผน!GF85"")"),1)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IFERROR(__xludf.DUMMYFUNCTION("IMPORTRANGE(""https://docs.google.com/spreadsheets/d/1eHaY18a8A9IcSdp1K8H6x8fbOy06t2VsZHhMHf-1x7Y/edit?usp=sharing"",""แผน!GB85"")"),400)</f>
        <v>400</v>
      </c>
      <c r="J752" s="554">
        <v>455</v>
      </c>
      <c r="K752" s="331">
        <f ca="1">IF(I752&gt;0,J752*100/I752,0)</f>
        <v>113.75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455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IFERROR(__xludf.DUMMYFUNCTION("IMPORTRANGE(""https://docs.google.com/spreadsheets/d/1eHaY18a8A9IcSdp1K8H6x8fbOy06t2VsZHhMHf-1x7Y/edit?usp=sharing"",""แผน!GD85"")"),100)</f>
        <v>100</v>
      </c>
      <c r="J755" s="554">
        <v>115</v>
      </c>
      <c r="K755" s="331">
        <f ca="1">IF(I755&gt;0,J755*100/I755,0)</f>
        <v>115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115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1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109660</v>
      </c>
      <c r="R760" s="132">
        <f ca="1">R761+R762</f>
        <v>109660</v>
      </c>
      <c r="S760" s="132">
        <f ca="1">S761+S762</f>
        <v>64780</v>
      </c>
      <c r="T760" s="132">
        <f ca="1">IF(Q760&gt;0,S760*100/Q760,0)</f>
        <v>59.073499908809048</v>
      </c>
      <c r="U760" s="132">
        <f ca="1">IF(R760&gt;0,S760*100/R760,0)</f>
        <v>59.073499908809048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109660</v>
      </c>
      <c r="R762" s="47">
        <f ca="1">R765+R768</f>
        <v>109660</v>
      </c>
      <c r="S762" s="47">
        <f ca="1">S765+S768</f>
        <v>64780</v>
      </c>
      <c r="T762" s="47">
        <f ca="1">IF(Q762&gt;0,S762*100/Q762,0)</f>
        <v>59.073499908809048</v>
      </c>
      <c r="U762" s="47">
        <f ca="1">IF(R762&gt;0,S762*100/R762,0)</f>
        <v>59.073499908809048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109660</v>
      </c>
      <c r="R763" s="47">
        <f ca="1">R764+R765</f>
        <v>109660</v>
      </c>
      <c r="S763" s="47">
        <f ca="1">S764+S765</f>
        <v>64780</v>
      </c>
      <c r="T763" s="47">
        <f ca="1">IF(Q763&gt;0,S763*100/Q763,0)</f>
        <v>59.073499908809048</v>
      </c>
      <c r="U763" s="47">
        <f ca="1">IF(R763&gt;0,S763*100/R763,0)</f>
        <v>59.073499908809048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IFERROR(__xludf.DUMMYFUNCTION("IMPORTRANGE(""https://docs.google.com/spreadsheets/d/1ItG2mGa2ceCfYo0BwxsXqNm01IGEUdYcSSLTEv9YCik/edit?usp=sharing"",""เบิกจ่ายกองทุน!AB85"")"),109660)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IFERROR(__xludf.DUMMYFUNCTION("IMPORTRANGE(""https://docs.google.com/spreadsheets/d/1ItG2mGa2ceCfYo0BwxsXqNm01IGEUdYcSSLTEv9YCik/edit?usp=sharing"",""เบิกจ่ายกองทุน!AC85"")"),64780)</f>
        <v>64780</v>
      </c>
      <c r="T765" s="47">
        <f ca="1">IF(Q765&gt;0,S765*100/Q765,0)</f>
        <v>59.073499908809048</v>
      </c>
      <c r="U765" s="47">
        <f ca="1">IF(R765&gt;0,S765*100/R765,0)</f>
        <v>59.073499908809048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IFERROR(__xludf.DUMMYFUNCTION("IMPORTRANGE(""https://docs.google.com/spreadsheets/d/1eHaY18a8A9IcSdp1K8H6x8fbOy06t2VsZHhMHf-1x7Y/edit?usp=sharing"",""แผน!FI85"")"),1)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IFERROR(__xludf.DUMMYFUNCTION("IMPORTRANGE(""https://docs.google.com/spreadsheets/d/1eHaY18a8A9IcSdp1K8H6x8fbOy06t2VsZHhMHf-1x7Y/edit?usp=sharing"",""แผน!FT85"")"),20)</f>
        <v>20</v>
      </c>
      <c r="J776" s="355">
        <v>20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IFERROR(__xludf.DUMMYFUNCTION("IMPORTRANGE(""https://docs.google.com/spreadsheets/d/10OvvATaaLtwErnr3qtWFcTmtbfpFEt5Bsqel9sXx0uE/edit?usp=sharing"",""งานกองทุน!D85"")"),1451596.33)</f>
        <v>1451596.33</v>
      </c>
      <c r="J778" s="152">
        <f ca="1">IFERROR(__xludf.DUMMYFUNCTION("IMPORTRANGE(""https://docs.google.com/spreadsheets/d/10OvvATaaLtwErnr3qtWFcTmtbfpFEt5Bsqel9sXx0uE/edit?usp=sharing"",""งานกองทุน!F85"")"),1072423.71)</f>
        <v>1072423.71</v>
      </c>
      <c r="K778" s="47">
        <f ca="1">IF(I778&gt;0,J778*100/I778,0)</f>
        <v>73.87892128385306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IFERROR(__xludf.DUMMYFUNCTION("IMPORTRANGE(""https://docs.google.com/spreadsheets/d/10OvvATaaLtwErnr3qtWFcTmtbfpFEt5Bsqel9sXx0uE/edit?usp=sharing"",""งานกองทุน!C85"")"),152)</f>
        <v>152</v>
      </c>
      <c r="J779" s="152">
        <f ca="1">IFERROR(__xludf.DUMMYFUNCTION("IMPORTRANGE(""https://docs.google.com/spreadsheets/d/10OvvATaaLtwErnr3qtWFcTmtbfpFEt5Bsqel9sXx0uE/edit?usp=sharing"",""งานกองทุน!E85"")"),116)</f>
        <v>116</v>
      </c>
      <c r="K779" s="47">
        <f ca="1">IF(I779&gt;0,J779*100/I779,0)</f>
        <v>76.315789473684205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152">
        <f ca="1">IFERROR(__xludf.DUMMYFUNCTION("IMPORTRANGE(""https://docs.google.com/spreadsheets/d/10OvvATaaLtwErnr3qtWFcTmtbfpFEt5Bsqel9sXx0uE/edit?usp=sharing"",""งานกองทุน!K85"")"),167873)</f>
        <v>167873</v>
      </c>
      <c r="K780" s="47">
        <f ca="1">IF(I780&gt;0,J780*100/I780,0)</f>
        <v>10.645275019922041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IFERROR(__xludf.DUMMYFUNCTION("IMPORTRANGE(""https://docs.google.com/spreadsheets/d/10OvvATaaLtwErnr3qtWFcTmtbfpFEt5Bsqel9sXx0uE/edit?usp=sharing"",""งานกองทุน!H85"")"),99)</f>
        <v>99</v>
      </c>
      <c r="J781" s="152">
        <f ca="1">IFERROR(__xludf.DUMMYFUNCTION("IMPORTRANGE(""https://docs.google.com/spreadsheets/d/10OvvATaaLtwErnr3qtWFcTmtbfpFEt5Bsqel9sXx0uE/edit?usp=sharing"",""งานกองทุน!J85"")"),20)</f>
        <v>20</v>
      </c>
      <c r="K781" s="47">
        <f ca="1">IF(I781&gt;0,J781*100/I781,0)</f>
        <v>20.202020202020201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IFERROR(__xludf.DUMMYFUNCTION("IMPORTRANGE(""https://docs.google.com/spreadsheets/d/10OvvATaaLtwErnr3qtWFcTmtbfpFEt5Bsqel9sXx0uE/edit?usp=sharing"",""งานกองทุน!N85"")"),0)</f>
        <v>0</v>
      </c>
      <c r="J782" s="15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IFERROR(__xludf.DUMMYFUNCTION("IMPORTRANGE(""https://docs.google.com/spreadsheets/d/10OvvATaaLtwErnr3qtWFcTmtbfpFEt5Bsqel9sXx0uE/edit?usp=sharing"",""งานกองทุน!M85"")"),0)</f>
        <v>0</v>
      </c>
      <c r="J783" s="15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IFERROR(__xludf.DUMMYFUNCTION("IMPORTRANGE(""https://docs.google.com/spreadsheets/d/10OvvATaaLtwErnr3qtWFcTmtbfpFEt5Bsqel9sXx0uE/edit?usp=sharing"",""งานกองทุน!S85"")"),1288000)</f>
        <v>1288000</v>
      </c>
      <c r="J784" s="152">
        <f ca="1">IFERROR(__xludf.DUMMYFUNCTION("IMPORTRANGE(""https://docs.google.com/spreadsheets/d/10OvvATaaLtwErnr3qtWFcTmtbfpFEt5Bsqel9sXx0uE/edit?usp=sharing"",""งานกองทุน!U85"")"),480000)</f>
        <v>480000</v>
      </c>
      <c r="K784" s="47">
        <f ca="1">IF(I784&gt;0,J784*100/I784,0)</f>
        <v>37.267080745341616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IFERROR(__xludf.DUMMYFUNCTION("IMPORTRANGE(""https://docs.google.com/spreadsheets/d/10OvvATaaLtwErnr3qtWFcTmtbfpFEt5Bsqel9sXx0uE/edit?usp=sharing"",""งานกองทุน!R85"")"),46)</f>
        <v>46</v>
      </c>
      <c r="J785" s="197">
        <f ca="1">IFERROR(__xludf.DUMMYFUNCTION("IMPORTRANGE(""https://docs.google.com/spreadsheets/d/10OvvATaaLtwErnr3qtWFcTmtbfpFEt5Bsqel9sXx0uE/edit?usp=sharing"",""งานกองทุน!T85"")"),15)</f>
        <v>15</v>
      </c>
      <c r="K785" s="111">
        <f ca="1">IF(I785&gt;0,J785*100/I785,0)</f>
        <v>32.608695652173914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CA621-4EB1-466B-A32F-71B08CF75959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328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3158250</v>
      </c>
      <c r="M18" s="35">
        <f ca="1">M19+M20</f>
        <v>3620759</v>
      </c>
      <c r="N18" s="35">
        <f ca="1">N19+N20</f>
        <v>2921588.2199999997</v>
      </c>
      <c r="O18" s="35">
        <f ca="1">IF(L18&gt;0,N18*100/L18,0)</f>
        <v>92.506553312752317</v>
      </c>
      <c r="P18" s="35">
        <f ca="1">IF(M18&gt;0,N18*100/M18,0)</f>
        <v>80.68993876698228</v>
      </c>
      <c r="Q18" s="35">
        <f ca="1">Q19+Q20</f>
        <v>1915609.22</v>
      </c>
      <c r="R18" s="35">
        <f ca="1">R19+R20</f>
        <v>1923309</v>
      </c>
      <c r="S18" s="35">
        <f ca="1">S19+S20</f>
        <v>1208501</v>
      </c>
      <c r="T18" s="35">
        <f ca="1">IF(Q18&gt;0,S18*100/Q18,0)</f>
        <v>63.08703191562212</v>
      </c>
      <c r="U18" s="35">
        <f ca="1">IF(R18&gt;0,S18*100/R18,0)</f>
        <v>62.834469136264637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3158250</v>
      </c>
      <c r="M20" s="39">
        <f ca="1">M23+M26</f>
        <v>3620759</v>
      </c>
      <c r="N20" s="39">
        <f ca="1">N23+N26</f>
        <v>2921588.2199999997</v>
      </c>
      <c r="O20" s="39">
        <f ca="1">IF(L20&gt;0,N20*100/L20,0)</f>
        <v>92.506553312752317</v>
      </c>
      <c r="P20" s="39">
        <f ca="1">IF(M20&gt;0,N20*100/M20,0)</f>
        <v>80.68993876698228</v>
      </c>
      <c r="Q20" s="39">
        <f ca="1">Q23+Q26</f>
        <v>1915609.22</v>
      </c>
      <c r="R20" s="39">
        <f ca="1">R23+R26</f>
        <v>1923309</v>
      </c>
      <c r="S20" s="39">
        <f ca="1">S23+S26</f>
        <v>1208501</v>
      </c>
      <c r="T20" s="39">
        <f ca="1">IF(Q20&gt;0,S20*100/Q20,0)</f>
        <v>63.08703191562212</v>
      </c>
      <c r="U20" s="39">
        <f ca="1">IF(R20&gt;0,S20*100/R20,0)</f>
        <v>62.834469136264637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2980250</v>
      </c>
      <c r="M21" s="47">
        <f ca="1">M22+M23</f>
        <v>3442759</v>
      </c>
      <c r="N21" s="47">
        <f ca="1">N22+N23</f>
        <v>2743588.2199999997</v>
      </c>
      <c r="O21" s="47">
        <f ca="1">IF(L21&gt;0,N21*100/L21,0)</f>
        <v>92.058995721835416</v>
      </c>
      <c r="P21" s="47">
        <f ca="1">IF(M21&gt;0,N21*100/M21,0)</f>
        <v>79.691556103694737</v>
      </c>
      <c r="Q21" s="47">
        <f ca="1">Q22+Q23</f>
        <v>1915609.22</v>
      </c>
      <c r="R21" s="47">
        <f ca="1">R22+R23</f>
        <v>1923309</v>
      </c>
      <c r="S21" s="47">
        <f ca="1">S22+S23</f>
        <v>1208501</v>
      </c>
      <c r="T21" s="47">
        <f ca="1">IF(Q21&gt;0,S21*100/Q21,0)</f>
        <v>63.08703191562212</v>
      </c>
      <c r="U21" s="47">
        <f ca="1">IF(R21&gt;0,S21*100/R21,0)</f>
        <v>62.834469136264637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2980250</v>
      </c>
      <c r="M23" s="47">
        <f ca="1">M49+M64+M77+M99+M122+M144+M162+M191+M178+M271+M287+M308+M325+M338+M361+M380+M418+M498+M518+M539+M560+M581+M604+M621+M647+M695+M719+M733+M765</f>
        <v>3442759</v>
      </c>
      <c r="N23" s="47">
        <f ca="1">N49+N64+N77+N99+N122+N144+N162+N191+N178+N271+N287+N308+N325+N338+N361+N380+N418+N498+N518+N539+N560+N581+N604+N621+N647+N695+N719+N733+N765</f>
        <v>2743588.2199999997</v>
      </c>
      <c r="O23" s="47">
        <f ca="1">IF(L23&gt;0,N23*100/L23,0)</f>
        <v>92.058995721835416</v>
      </c>
      <c r="P23" s="47">
        <f ca="1">IF(M23&gt;0,N23*100/M23,0)</f>
        <v>79.691556103694737</v>
      </c>
      <c r="Q23" s="47">
        <f ca="1">Q77+Q99+Q122+Q144+Q162+Q178+Q191+Q271+Q287+Q308+Q338+Q380+Q397+Q418+Q498+Q604+Q621+Q647+Q695+Q719+Q733+Q765</f>
        <v>1915609.22</v>
      </c>
      <c r="R23" s="47">
        <f ca="1">R77+R99+R122+R144+R162+R178+R191+R271+R287+R308+R338+R380+R397+R418+R498+R604+R621+R647+R695+R719+R733+R765</f>
        <v>1923309</v>
      </c>
      <c r="S23" s="47">
        <f ca="1">S77+S99+S122+S144+S162+S178+S191+S271+S287+S308+S338+S380+S397+S418+S498+S604+S621+S647+S695+S719+S733+S765</f>
        <v>1208501</v>
      </c>
      <c r="T23" s="47">
        <f ca="1">IF(Q23&gt;0,S23*100/Q23,0)</f>
        <v>63.08703191562212</v>
      </c>
      <c r="U23" s="47">
        <f ca="1">IF(R23&gt;0,S23*100/R23,0)</f>
        <v>62.834469136264637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178000</v>
      </c>
      <c r="M24" s="47">
        <f ca="1">M25+M26</f>
        <v>178000</v>
      </c>
      <c r="N24" s="47">
        <f ca="1">N25+N26</f>
        <v>178000</v>
      </c>
      <c r="O24" s="47">
        <f ca="1">IF(L24&gt;0,N24*100/L24,0)</f>
        <v>100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178000</v>
      </c>
      <c r="M26" s="47">
        <f ca="1">M52+M67+M80+M102+M125+M147+M165+M194+M181+M274+M290+M311+M328+M341+M364+M383+M421+M501+M521+M542+M563+M584+M607+M624+M650+M698+M722+M736+M768</f>
        <v>178000</v>
      </c>
      <c r="N26" s="47">
        <f ca="1">N52+N67+N80+N102+N125+N147+N165+N194+N181+N274+N290+N311+N328+N341+N364+N383+N421+N501+N521+N542+N563+N584+N607+N624+N650+N698+N722+N736+N768</f>
        <v>178000</v>
      </c>
      <c r="O26" s="47">
        <f ca="1">IF(L26&gt;0,N26*100/L26,0)</f>
        <v>100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3080400</v>
      </c>
      <c r="M40" s="803">
        <f ca="1">M44+M59+M72+M94+M125+M139+M157+M173+M186+M266+M282+M303+M320+M333+M356</f>
        <v>3542909</v>
      </c>
      <c r="N40" s="803">
        <f ca="1">N44+N59+N72+N94+N125+N139+N157+N173+N186+N266+N282+N303+N320+N333+N356</f>
        <v>2903658.2199999997</v>
      </c>
      <c r="O40" s="803">
        <f ca="1">IF(L40&gt;0,N40*100/L40,0)</f>
        <v>94.262375665497984</v>
      </c>
      <c r="P40" s="803">
        <f ca="1">IF(M40&gt;0,N40*100/M40,0)</f>
        <v>81.956895308346901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600100</v>
      </c>
      <c r="M44" s="79">
        <f ca="1">M45+M46</f>
        <v>735349</v>
      </c>
      <c r="N44" s="79">
        <f ca="1">N45+N46</f>
        <v>627126</v>
      </c>
      <c r="O44" s="79">
        <f ca="1">IF(L44&gt;0,N44*100/L44,0)</f>
        <v>104.50358273621063</v>
      </c>
      <c r="P44" s="79">
        <f ca="1">IF(M44&gt;0,N44*100/M44,0)</f>
        <v>85.282770494010322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600100</v>
      </c>
      <c r="M46" s="83">
        <f ca="1">M49+M52</f>
        <v>735349</v>
      </c>
      <c r="N46" s="83">
        <f ca="1">N49+N52</f>
        <v>627126</v>
      </c>
      <c r="O46" s="83">
        <f ca="1">IF(L46&gt;0,N46*100/L46,0)</f>
        <v>104.50358273621063</v>
      </c>
      <c r="P46" s="83">
        <f ca="1">IF(M46&gt;0,N46*100/M46,0)</f>
        <v>85.282770494010322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600100</v>
      </c>
      <c r="M47" s="47">
        <f ca="1">M48+M49</f>
        <v>735349</v>
      </c>
      <c r="N47" s="47">
        <f ca="1">N48+N49</f>
        <v>627126</v>
      </c>
      <c r="O47" s="47">
        <f ca="1">IF(L47&gt;0,N47*100/L47,0)</f>
        <v>104.50358273621063</v>
      </c>
      <c r="P47" s="47">
        <f ca="1">IF(M47&gt;0,N47*100/M47,0)</f>
        <v>85.282770494010322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IFERROR(__xludf.DUMMYFUNCTION("IMPORTRANGE(""https://docs.google.com/spreadsheets/d/1-uDff_7J0KD5mKrp0Vvzr7lt3OU09vwQwhkpOPPYv2Y/edit?usp=sharing"",""งบพรบ!P86"")"),600100)</f>
        <v>600100</v>
      </c>
      <c r="M49" s="47">
        <f ca="1">IFERROR(__xludf.DUMMYFUNCTION("IMPORTRANGE(""https://docs.google.com/spreadsheets/d/1-uDff_7J0KD5mKrp0Vvzr7lt3OU09vwQwhkpOPPYv2Y/edit?usp=sharing"",""งบพรบ!V86"")"),735349)</f>
        <v>735349</v>
      </c>
      <c r="N49" s="47">
        <f ca="1">IFERROR(__xludf.DUMMYFUNCTION("IMPORTRANGE(""https://docs.google.com/spreadsheets/d/1-uDff_7J0KD5mKrp0Vvzr7lt3OU09vwQwhkpOPPYv2Y/edit?usp=sharing"",""งบพรบ!Y86"")"),627126)</f>
        <v>627126</v>
      </c>
      <c r="O49" s="47">
        <f ca="1">IF(L49&gt;0,N49*100/L49,0)</f>
        <v>104.50358273621063</v>
      </c>
      <c r="P49" s="47">
        <f ca="1">IF(M49&gt;0,N49*100/M49,0)</f>
        <v>85.282770494010322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863200</v>
      </c>
      <c r="M59" s="106">
        <f ca="1">M60+M61</f>
        <v>1096800</v>
      </c>
      <c r="N59" s="106">
        <f ca="1">N60+N61</f>
        <v>1036353.73</v>
      </c>
      <c r="O59" s="106">
        <f ca="1">IF(L59&gt;0,N59*100/L59,0)</f>
        <v>120.05951459684893</v>
      </c>
      <c r="P59" s="106">
        <f ca="1">IF(M59&gt;0,N59*100/M59,0)</f>
        <v>94.488852115244342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863200</v>
      </c>
      <c r="M61" s="109">
        <f ca="1">M64+M67</f>
        <v>1096800</v>
      </c>
      <c r="N61" s="109">
        <f ca="1">N64+N67</f>
        <v>1036353.73</v>
      </c>
      <c r="O61" s="109">
        <f ca="1">IF(L61&gt;0,N61*100/L61,0)</f>
        <v>120.05951459684893</v>
      </c>
      <c r="P61" s="109">
        <f ca="1">IF(M61&gt;0,N61*100/M61,0)</f>
        <v>94.488852115244342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685200</v>
      </c>
      <c r="M62" s="47">
        <f ca="1">M63+M64</f>
        <v>918800</v>
      </c>
      <c r="N62" s="47">
        <f ca="1">N63+N64</f>
        <v>858353.73</v>
      </c>
      <c r="O62" s="47">
        <f ca="1">IF(L62&gt;0,N62*100/L62,0)</f>
        <v>125.27053852889668</v>
      </c>
      <c r="P62" s="47">
        <f ca="1">IF(M62&gt;0,N62*100/M62,0)</f>
        <v>93.421172181105788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IFERROR(__xludf.DUMMYFUNCTION("IMPORTRANGE(""https://docs.google.com/spreadsheets/d/1-uDff_7J0KD5mKrp0Vvzr7lt3OU09vwQwhkpOPPYv2Y/edit?usp=sharing"",""งบพรบ!AC86"")"),685200)</f>
        <v>685200</v>
      </c>
      <c r="M64" s="47">
        <f ca="1">IFERROR(__xludf.DUMMYFUNCTION("IMPORTRANGE(""https://docs.google.com/spreadsheets/d/1-uDff_7J0KD5mKrp0Vvzr7lt3OU09vwQwhkpOPPYv2Y/edit?usp=sharing"",""งบพรบ!AH86"")"),918800)</f>
        <v>918800</v>
      </c>
      <c r="N64" s="47">
        <f ca="1">IFERROR(__xludf.DUMMYFUNCTION("IMPORTRANGE(""https://docs.google.com/spreadsheets/d/1-uDff_7J0KD5mKrp0Vvzr7lt3OU09vwQwhkpOPPYv2Y/edit?usp=sharing"",""งบพรบ!AJ86"")"),858353.73)</f>
        <v>858353.73</v>
      </c>
      <c r="O64" s="47">
        <f ca="1">IF(L64&gt;0,N64*100/L64,0)</f>
        <v>125.27053852889668</v>
      </c>
      <c r="P64" s="47">
        <f ca="1">IF(M64&gt;0,N64*100/M64,0)</f>
        <v>93.421172181105788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178000</v>
      </c>
      <c r="M65" s="47">
        <f ca="1">M66+M67</f>
        <v>178000</v>
      </c>
      <c r="N65" s="47">
        <f ca="1">N66+N67</f>
        <v>178000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IFERROR(__xludf.DUMMYFUNCTION("IMPORTRANGE(""https://docs.google.com/spreadsheets/d/1-uDff_7J0KD5mKrp0Vvzr7lt3OU09vwQwhkpOPPYv2Y/edit?usp=sharing"",""งบพรบ!AF86"")"),178000)</f>
        <v>178000</v>
      </c>
      <c r="M67" s="111">
        <f ca="1">IFERROR(__xludf.DUMMYFUNCTION("IMPORTRANGE(""https://docs.google.com/spreadsheets/d/1-uDff_7J0KD5mKrp0Vvzr7lt3OU09vwQwhkpOPPYv2Y/edit?usp=sharing"",""งบพรบ!AI86"")"),178000)</f>
        <v>178000</v>
      </c>
      <c r="N67" s="111">
        <f ca="1">IFERROR(__xludf.DUMMYFUNCTION("IMPORTRANGE(""https://docs.google.com/spreadsheets/d/1-uDff_7J0KD5mKrp0Vvzr7lt3OU09vwQwhkpOPPYv2Y/edit?usp=sharing"",""งบพรบ!AK86"")"),178000)</f>
        <v>178000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IFERROR(__xludf.DUMMYFUNCTION("IMPORTRANGE(""https://docs.google.com/spreadsheets/d/1ItG2mGa2ceCfYo0BwxsXqNm01IGEUdYcSSLTEv9YCik/edit?usp=sharing"",""เบิกจ่ายกองทุน!BH86"")"),0)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IFERROR(__xludf.DUMMYFUNCTION("IMPORTRANGE(""https://docs.google.com/spreadsheets/d/1ItG2mGa2ceCfYo0BwxsXqNm01IGEUdYcSSLTEv9YCik/edit?usp=sharing"",""เบิกจ่ายกองทุน!BI86"")"),0)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IFERROR(__xludf.DUMMYFUNCTION("IMPORTRANGE(""https://docs.google.com/spreadsheets/d/1ItG2mGa2ceCfYo0BwxsXqNm01IGEUdYcSSLTEv9YCik/edit?usp=sharing"",""เบิกจ่ายกองทุน!BJ86"")"),0)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IFERROR(__xludf.DUMMYFUNCTION("IMPORTRANGE(""https://docs.google.com/spreadsheets/d/1eHaY18a8A9IcSdp1K8H6x8fbOy06t2VsZHhMHf-1x7Y/edit?usp=sharing"",""แผน!F86"")"),0)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IFERROR(__xludf.DUMMYFUNCTION("IMPORTRANGE(""https://docs.google.com/spreadsheets/d/1eHaY18a8A9IcSdp1K8H6x8fbOy06t2VsZHhMHf-1x7Y/edit?usp=sharing"",""แผน!G86"")"),0)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IFERROR(__xludf.DUMMYFUNCTION("IMPORTRANGE(""https://docs.google.com/spreadsheets/d/1eHaY18a8A9IcSdp1K8H6x8fbOy06t2VsZHhMHf-1x7Y/edit?usp=sharing"",""แผน!J86"")"),0)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87</v>
      </c>
      <c r="J92" s="127">
        <f>J108</f>
        <v>87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29</v>
      </c>
      <c r="J93" s="127">
        <f>J109</f>
        <v>29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17400</v>
      </c>
      <c r="M94" s="132">
        <f ca="1">M95+M96</f>
        <v>17400</v>
      </c>
      <c r="N94" s="132">
        <f ca="1">N95+N96</f>
        <v>17400</v>
      </c>
      <c r="O94" s="132">
        <f ca="1">IF(L94&gt;0,N94*100/L94,0)</f>
        <v>100</v>
      </c>
      <c r="P94" s="132">
        <f ca="1">IF(M94&gt;0,N94*100/M94,0)</f>
        <v>100</v>
      </c>
      <c r="Q94" s="132">
        <f ca="1">Q95+Q96</f>
        <v>244818</v>
      </c>
      <c r="R94" s="132">
        <f ca="1">R95+R96</f>
        <v>244818</v>
      </c>
      <c r="S94" s="132">
        <f ca="1">S95+S96</f>
        <v>87600</v>
      </c>
      <c r="T94" s="132">
        <f ca="1">IF(Q94&gt;0,S94*100/Q94,0)</f>
        <v>35.78168271940789</v>
      </c>
      <c r="U94" s="132">
        <f ca="1">IF(R94&gt;0,S94*100/R94,0)</f>
        <v>35.78168271940789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17400</v>
      </c>
      <c r="M96" s="47">
        <f ca="1">M99+M102</f>
        <v>17400</v>
      </c>
      <c r="N96" s="47">
        <f ca="1">N99+N102</f>
        <v>17400</v>
      </c>
      <c r="O96" s="47">
        <f ca="1">IF(L96&gt;0,N96*100/L96,0)</f>
        <v>100</v>
      </c>
      <c r="P96" s="47">
        <f ca="1">IF(M96&gt;0,N96*100/M96,0)</f>
        <v>100</v>
      </c>
      <c r="Q96" s="47">
        <f ca="1">Q99+Q102</f>
        <v>244818</v>
      </c>
      <c r="R96" s="47">
        <f ca="1">R99+R102</f>
        <v>244818</v>
      </c>
      <c r="S96" s="47">
        <f ca="1">S99+S102</f>
        <v>87600</v>
      </c>
      <c r="T96" s="47">
        <f ca="1">IF(Q96&gt;0,S96*100/Q96,0)</f>
        <v>35.78168271940789</v>
      </c>
      <c r="U96" s="47">
        <f ca="1">IF(R96&gt;0,S96*100/R96,0)</f>
        <v>35.78168271940789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17400</v>
      </c>
      <c r="M97" s="47">
        <f ca="1">M98+M99</f>
        <v>17400</v>
      </c>
      <c r="N97" s="47">
        <f ca="1">N98+N99</f>
        <v>17400</v>
      </c>
      <c r="O97" s="47">
        <f ca="1">IF(L97&gt;0,N97*100/L97,0)</f>
        <v>100</v>
      </c>
      <c r="P97" s="47">
        <f ca="1">IF(M97&gt;0,N97*100/M97,0)</f>
        <v>100</v>
      </c>
      <c r="Q97" s="47">
        <f ca="1">Q98+Q99</f>
        <v>244818</v>
      </c>
      <c r="R97" s="47">
        <f ca="1">R98+R99</f>
        <v>244818</v>
      </c>
      <c r="S97" s="47">
        <f ca="1">S98+S99</f>
        <v>87600</v>
      </c>
      <c r="T97" s="47">
        <f ca="1">IF(Q97&gt;0,S97*100/Q97,0)</f>
        <v>35.78168271940789</v>
      </c>
      <c r="U97" s="47">
        <f ca="1">IF(R97&gt;0,S97*100/R97,0)</f>
        <v>35.78168271940789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IFERROR(__xludf.DUMMYFUNCTION("IMPORTRANGE(""https://docs.google.com/spreadsheets/d/1-uDff_7J0KD5mKrp0Vvzr7lt3OU09vwQwhkpOPPYv2Y/edit?usp=sharing"",""งบพรบ!AW86"")"),17400)</f>
        <v>17400</v>
      </c>
      <c r="M99" s="47">
        <f ca="1">IFERROR(__xludf.DUMMYFUNCTION("IMPORTRANGE(""https://docs.google.com/spreadsheets/d/1-uDff_7J0KD5mKrp0Vvzr7lt3OU09vwQwhkpOPPYv2Y/edit?usp=sharing"",""งบพรบ!BB86"")"),17400)</f>
        <v>17400</v>
      </c>
      <c r="N99" s="47">
        <f ca="1">IFERROR(__xludf.DUMMYFUNCTION("IMPORTRANGE(""https://docs.google.com/spreadsheets/d/1-uDff_7J0KD5mKrp0Vvzr7lt3OU09vwQwhkpOPPYv2Y/edit?usp=sharing"",""งบพรบ!BD86"")"),17400)</f>
        <v>17400</v>
      </c>
      <c r="O99" s="47">
        <f ca="1">IF(L99&gt;0,N99*100/L99,0)</f>
        <v>100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IFERROR(__xludf.DUMMYFUNCTION("IMPORTRANGE(""https://docs.google.com/spreadsheets/d/1ItG2mGa2ceCfYo0BwxsXqNm01IGEUdYcSSLTEv9YCik/edit?usp=sharing"",""เบิกจ่ายกองทุน!AK86"")"),244818)</f>
        <v>244818</v>
      </c>
      <c r="S99" s="47">
        <f ca="1">IFERROR(__xludf.DUMMYFUNCTION("IMPORTRANGE(""https://docs.google.com/spreadsheets/d/1ItG2mGa2ceCfYo0BwxsXqNm01IGEUdYcSSLTEv9YCik/edit?usp=sharing"",""เบิกจ่ายกองทุน!AL86"")"),87600)</f>
        <v>87600</v>
      </c>
      <c r="T99" s="47">
        <f ca="1">IF(Q99&gt;0,S99*100/Q99,0)</f>
        <v>35.78168271940789</v>
      </c>
      <c r="U99" s="47">
        <f ca="1">IF(R99&gt;0,S99*100/R99,0)</f>
        <v>35.78168271940789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IFERROR(__xludf.DUMMYFUNCTION("IMPORTRANGE(""https://docs.google.com/spreadsheets/d/1eHaY18a8A9IcSdp1K8H6x8fbOy06t2VsZHhMHf-1x7Y/edit?usp=sharing"",""แผน!N86"")"),87)</f>
        <v>87</v>
      </c>
      <c r="J108" s="167">
        <v>87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IFERROR(__xludf.DUMMYFUNCTION("IMPORTRANGE(""https://docs.google.com/spreadsheets/d/1eHaY18a8A9IcSdp1K8H6x8fbOy06t2VsZHhMHf-1x7Y/edit?usp=sharing"",""แผน!O86"")"),29)</f>
        <v>29</v>
      </c>
      <c r="J109" s="167">
        <v>29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IFERROR(__xludf.DUMMYFUNCTION("IMPORTRANGE(""https://docs.google.com/spreadsheets/d/1eHaY18a8A9IcSdp1K8H6x8fbOy06t2VsZHhMHf-1x7Y/edit?usp=sharing"",""แผน!N86"")"),87)</f>
        <v>87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IFERROR(__xludf.DUMMYFUNCTION("IMPORTRANGE(""https://docs.google.com/spreadsheets/d/1eHaY18a8A9IcSdp1K8H6x8fbOy06t2VsZHhMHf-1x7Y/edit?usp=sharing"",""แผน!O86"")"),29)</f>
        <v>29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155150</v>
      </c>
      <c r="T117" s="132">
        <f ca="1">IF(Q117&gt;0,S117*100/Q117,0)</f>
        <v>74.106801681314479</v>
      </c>
      <c r="U117" s="132">
        <f ca="1">IF(R117&gt;0,S117*100/R117,0)</f>
        <v>74.106801681314479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155150</v>
      </c>
      <c r="T119" s="47">
        <f ca="1">IF(Q119&gt;0,S119*100/Q119,0)</f>
        <v>74.106801681314479</v>
      </c>
      <c r="U119" s="47">
        <f ca="1">IF(R119&gt;0,S119*100/R119,0)</f>
        <v>74.106801681314479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155150</v>
      </c>
      <c r="T120" s="47">
        <f ca="1">IF(Q120&gt;0,S120*100/Q120,0)</f>
        <v>74.106801681314479</v>
      </c>
      <c r="U120" s="47">
        <f ca="1">IF(R120&gt;0,S120*100/R120,0)</f>
        <v>74.106801681314479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IFERROR(__xludf.DUMMYFUNCTION("IMPORTRANGE(""https://docs.google.com/spreadsheets/d/1ItG2mGa2ceCfYo0BwxsXqNm01IGEUdYcSSLTEv9YCik/edit?usp=sharing"",""เบิกจ่ายกองทุน!V86"")"),209360)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IFERROR(__xludf.DUMMYFUNCTION("IMPORTRANGE(""https://docs.google.com/spreadsheets/d/1ItG2mGa2ceCfYo0BwxsXqNm01IGEUdYcSSLTEv9YCik/edit?usp=sharing"",""เบิกจ่ายกองทุน!W86"")"),155150)</f>
        <v>155150</v>
      </c>
      <c r="T122" s="47">
        <f ca="1">IF(Q122&gt;0,S122*100/Q122,0)</f>
        <v>74.106801681314479</v>
      </c>
      <c r="U122" s="47">
        <f ca="1">IF(R122&gt;0,S122*100/R122,0)</f>
        <v>74.106801681314479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IFERROR(__xludf.DUMMYFUNCTION("IMPORTRANGE(""https://docs.google.com/spreadsheets/d/1eHaY18a8A9IcSdp1K8H6x8fbOy06t2VsZHhMHf-1x7Y/edit?usp=sharing"",""แผน!FG86"")"),1)</f>
        <v>1</v>
      </c>
      <c r="J128" s="167">
        <v>1</v>
      </c>
      <c r="K128" s="47">
        <f ca="1">IF(I128&gt;0,J128*100/I128,0)</f>
        <v>100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IFERROR(__xludf.DUMMYFUNCTION("IMPORTRANGE(""https://docs.google.com/spreadsheets/d/1eHaY18a8A9IcSdp1K8H6x8fbOy06t2VsZHhMHf-1x7Y/edit?usp=sharing"",""แผน!FI86"")"),1)</f>
        <v>1</v>
      </c>
      <c r="J130" s="167">
        <v>1</v>
      </c>
      <c r="K130" s="47">
        <f ca="1">IF(I130&gt;0,J130*100/I130,0)</f>
        <v>100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10</v>
      </c>
      <c r="J137" s="127">
        <f>J152</f>
        <v>10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1</v>
      </c>
      <c r="J138" s="127">
        <f>J153</f>
        <v>1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23300</v>
      </c>
      <c r="M139" s="132">
        <f ca="1">M140+M141</f>
        <v>18300</v>
      </c>
      <c r="N139" s="132">
        <f ca="1">N140+N141</f>
        <v>12060</v>
      </c>
      <c r="O139" s="132">
        <f ca="1">IF(L139&gt;0,N139*100/L139,0)</f>
        <v>51.759656652360512</v>
      </c>
      <c r="P139" s="132">
        <f ca="1">IF(M139&gt;0,N139*100/M139,0)</f>
        <v>65.901639344262293</v>
      </c>
      <c r="Q139" s="132">
        <f ca="1">Q140+Q141</f>
        <v>39860</v>
      </c>
      <c r="R139" s="132">
        <f ca="1">R140+R141</f>
        <v>39860</v>
      </c>
      <c r="S139" s="132">
        <f ca="1">S140+S141</f>
        <v>16300</v>
      </c>
      <c r="T139" s="132">
        <f ca="1">IF(Q139&gt;0,S139*100/Q139,0)</f>
        <v>40.893125940792771</v>
      </c>
      <c r="U139" s="132">
        <f ca="1">IF(R139&gt;0,S139*100/R139,0)</f>
        <v>40.893125940792771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23300</v>
      </c>
      <c r="M141" s="47">
        <f ca="1">M144+M147</f>
        <v>18300</v>
      </c>
      <c r="N141" s="47">
        <f ca="1">N144+N147</f>
        <v>12060</v>
      </c>
      <c r="O141" s="47">
        <f ca="1">IF(L141&gt;0,N141*100/L141,0)</f>
        <v>51.759656652360512</v>
      </c>
      <c r="P141" s="47">
        <f ca="1">IF(M141&gt;0,N141*100/M141,0)</f>
        <v>65.901639344262293</v>
      </c>
      <c r="Q141" s="47">
        <f ca="1">Q144+Q147</f>
        <v>39860</v>
      </c>
      <c r="R141" s="47">
        <f ca="1">R144+R147</f>
        <v>39860</v>
      </c>
      <c r="S141" s="47">
        <f ca="1">S144+S147</f>
        <v>16300</v>
      </c>
      <c r="T141" s="47">
        <f ca="1">IF(Q141&gt;0,S141*100/Q141,0)</f>
        <v>40.893125940792771</v>
      </c>
      <c r="U141" s="47">
        <f ca="1">IF(R141&gt;0,S141*100/R141,0)</f>
        <v>40.893125940792771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23300</v>
      </c>
      <c r="M142" s="47">
        <f ca="1">M143+M144</f>
        <v>18300</v>
      </c>
      <c r="N142" s="47">
        <f ca="1">N143+N144</f>
        <v>12060</v>
      </c>
      <c r="O142" s="47">
        <f ca="1">IF(L142&gt;0,N142*100/L142,0)</f>
        <v>51.759656652360512</v>
      </c>
      <c r="P142" s="47">
        <f ca="1">IF(M142&gt;0,N142*100/M142,0)</f>
        <v>65.901639344262293</v>
      </c>
      <c r="Q142" s="47">
        <f ca="1">Q143+Q144</f>
        <v>39860</v>
      </c>
      <c r="R142" s="47">
        <f ca="1">R143+R144</f>
        <v>39860</v>
      </c>
      <c r="S142" s="47">
        <f ca="1">S143+S144</f>
        <v>16300</v>
      </c>
      <c r="T142" s="47">
        <f ca="1">IF(Q142&gt;0,S142*100/Q142,0)</f>
        <v>40.893125940792771</v>
      </c>
      <c r="U142" s="47">
        <f ca="1">IF(R142&gt;0,S142*100/R142,0)</f>
        <v>40.893125940792771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IFERROR(__xludf.DUMMYFUNCTION("IMPORTRANGE(""https://docs.google.com/spreadsheets/d/1-uDff_7J0KD5mKrp0Vvzr7lt3OU09vwQwhkpOPPYv2Y/edit?usp=sharing"",""งบพรบ!BX86"")"),12060)</f>
        <v>12060</v>
      </c>
      <c r="O144" s="47">
        <f ca="1">IF(L144&gt;0,N144*100/L144,0)</f>
        <v>51.759656652360512</v>
      </c>
      <c r="P144" s="47">
        <f ca="1">IF(M144&gt;0,N144*100/M144,0)</f>
        <v>65.901639344262293</v>
      </c>
      <c r="Q144" s="47">
        <f ca="1">IFERROR(__xludf.DUMMYFUNCTION("IMPORTRANGE(""https://docs.google.com/spreadsheets/d/1ItG2mGa2ceCfYo0BwxsXqNm01IGEUdYcSSLTEv9YCik/edit?usp=sharing"",""เบิกจ่ายกองทุน!CF86"")"),39860)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IFERROR(__xludf.DUMMYFUNCTION("IMPORTRANGE(""https://docs.google.com/spreadsheets/d/1ItG2mGa2ceCfYo0BwxsXqNm01IGEUdYcSSLTEv9YCik/edit?usp=sharing"",""เบิกจ่ายกองทุน!CG86"")"),39860)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IFERROR(__xludf.DUMMYFUNCTION("IMPORTRANGE(""https://docs.google.com/spreadsheets/d/1ItG2mGa2ceCfYo0BwxsXqNm01IGEUdYcSSLTEv9YCik/edit?usp=sharing"",""เบิกจ่ายกองทุน!CH86"")"),16300)</f>
        <v>16300</v>
      </c>
      <c r="T144" s="47">
        <f ca="1">IF(Q144&gt;0,S144*100/Q144,0)</f>
        <v>40.893125940792771</v>
      </c>
      <c r="U144" s="47">
        <f ca="1">IF(R144&gt;0,S144*100/R144,0)</f>
        <v>40.893125940792771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IFERROR(__xludf.DUMMYFUNCTION("IMPORTRANGE(""https://docs.google.com/spreadsheets/d/1eHaY18a8A9IcSdp1K8H6x8fbOy06t2VsZHhMHf-1x7Y/edit?usp=sharing"",""แผน!W86"")"),10)</f>
        <v>10</v>
      </c>
      <c r="J152" s="167">
        <v>10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IFERROR(__xludf.DUMMYFUNCTION("IMPORTRANGE(""https://docs.google.com/spreadsheets/d/1eHaY18a8A9IcSdp1K8H6x8fbOy06t2VsZHhMHf-1x7Y/edit?usp=sharing"",""แผน!X86"")"),1)</f>
        <v>1</v>
      </c>
      <c r="J153" s="167">
        <v>1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IFERROR(__xludf.DUMMYFUNCTION("IMPORTRANGE(""https://docs.google.com/spreadsheets/d/1-uDff_7J0KD5mKrp0Vvzr7lt3OU09vwQwhkpOPPYv2Y/edit?usp=sharing"",""งบพรบ!CF86"")"),0)</f>
        <v>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IFERROR(__xludf.DUMMYFUNCTION("IMPORTRANGE(""https://docs.google.com/spreadsheets/d/1eHaY18a8A9IcSdp1K8H6x8fbOy06t2VsZHhMHf-1x7Y/edit?usp=sharing"",""แผน!Z86"")"),0)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IFERROR(__xludf.DUMMYFUNCTION("IMPORTRANGE(""https://docs.google.com/spreadsheets/d/1eHaY18a8A9IcSdp1K8H6x8fbOy06t2VsZHhMHf-1x7Y/edit?usp=sharing"",""แผน!Z86"")"),0)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IFERROR(__xludf.DUMMYFUNCTION("IMPORTRANGE(""https://docs.google.com/spreadsheets/d/1eHaY18a8A9IcSdp1K8H6x8fbOy06t2VsZHhMHf-1x7Y/edit?usp=sharing"",""แผน!Z86"")"),0)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40150</v>
      </c>
      <c r="N173" s="132">
        <f ca="1">N174+N175</f>
        <v>39550</v>
      </c>
      <c r="O173" s="132">
        <f ca="1">IF(L173&gt;0,N173*100/L173,0)</f>
        <v>201.88871873404798</v>
      </c>
      <c r="P173" s="132">
        <f ca="1">IF(M173&gt;0,N173*100/M173,0)</f>
        <v>98.505603985056041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40150</v>
      </c>
      <c r="N175" s="47">
        <f ca="1">N178+N181</f>
        <v>39550</v>
      </c>
      <c r="O175" s="47">
        <f ca="1">IF(L175&gt;0,N175*100/L175,0)</f>
        <v>201.88871873404798</v>
      </c>
      <c r="P175" s="47">
        <f ca="1">IF(M175&gt;0,N175*100/M175,0)</f>
        <v>98.505603985056041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40150</v>
      </c>
      <c r="N176" s="47">
        <f ca="1">N177+N178</f>
        <v>39550</v>
      </c>
      <c r="O176" s="47">
        <f ca="1">IF(L176&gt;0,N176*100/L176,0)</f>
        <v>201.88871873404798</v>
      </c>
      <c r="P176" s="47">
        <f ca="1">IF(M176&gt;0,N176*100/M176,0)</f>
        <v>98.505603985056041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IFERROR(__xludf.DUMMYFUNCTION("IMPORTRANGE(""https://docs.google.com/spreadsheets/d/1-uDff_7J0KD5mKrp0Vvzr7lt3OU09vwQwhkpOPPYv2Y/edit?usp=sharing"",""งบพรบ!CR86"")"),39550)</f>
        <v>39550</v>
      </c>
      <c r="O178" s="47">
        <f ca="1">IF(L178&gt;0,N178*100/L178,0)</f>
        <v>201.88871873404798</v>
      </c>
      <c r="P178" s="47">
        <f ca="1">IF(M178&gt;0,N178*100/M178,0)</f>
        <v>98.505603985056041</v>
      </c>
      <c r="Q178" s="47">
        <f ca="1">IFERROR(__xludf.DUMMYFUNCTION("IMPORTRANGE(""https://docs.google.com/spreadsheets/d/1ItG2mGa2ceCfYo0BwxsXqNm01IGEUdYcSSLTEv9YCik/edit?usp=sharing"",""เบิกจ่ายกองทุน!DG86"")"),0)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IFERROR(__xludf.DUMMYFUNCTION("IMPORTRANGE(""https://docs.google.com/spreadsheets/d/1eHaY18a8A9IcSdp1K8H6x8fbOy06t2VsZHhMHf-1x7Y/edit?usp=sharing"",""แผน!AA86"")"),7)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327800</v>
      </c>
      <c r="M186" s="132">
        <f ca="1">M187+M188</f>
        <v>339500</v>
      </c>
      <c r="N186" s="132">
        <f ca="1">N187+N188</f>
        <v>242130.45</v>
      </c>
      <c r="O186" s="132">
        <f ca="1">IF(L186&gt;0,N186*100/L186,0)</f>
        <v>73.865298962782191</v>
      </c>
      <c r="P186" s="132">
        <f ca="1">IF(M186&gt;0,N186*100/M186,0)</f>
        <v>71.319720176730485</v>
      </c>
      <c r="Q186" s="132">
        <f ca="1">Q187+Q188</f>
        <v>417900</v>
      </c>
      <c r="R186" s="132">
        <f ca="1">R187+R188</f>
        <v>417900</v>
      </c>
      <c r="S186" s="132">
        <f ca="1">S187+S188</f>
        <v>417900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327800</v>
      </c>
      <c r="M188" s="47">
        <f ca="1">M191+M194</f>
        <v>339500</v>
      </c>
      <c r="N188" s="47">
        <f ca="1">N191+N194</f>
        <v>242130.45</v>
      </c>
      <c r="O188" s="47">
        <f ca="1">IF(L188&gt;0,N188*100/L188,0)</f>
        <v>73.865298962782191</v>
      </c>
      <c r="P188" s="47">
        <f ca="1">IF(M188&gt;0,N188*100/M188,0)</f>
        <v>71.319720176730485</v>
      </c>
      <c r="Q188" s="47">
        <f ca="1">Q191+Q194</f>
        <v>417900</v>
      </c>
      <c r="R188" s="47">
        <f ca="1">R191+R194</f>
        <v>417900</v>
      </c>
      <c r="S188" s="47">
        <f ca="1">S191+S194</f>
        <v>417900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327800</v>
      </c>
      <c r="M189" s="47">
        <f ca="1">M190+M191</f>
        <v>339500</v>
      </c>
      <c r="N189" s="47">
        <f ca="1">N190+N191</f>
        <v>242130.45</v>
      </c>
      <c r="O189" s="47">
        <f ca="1">IF(L189&gt;0,N189*100/L189,0)</f>
        <v>73.865298962782191</v>
      </c>
      <c r="P189" s="47">
        <f ca="1">IF(M189&gt;0,N189*100/M189,0)</f>
        <v>71.319720176730485</v>
      </c>
      <c r="Q189" s="47">
        <f ca="1">Q190+Q191</f>
        <v>417900</v>
      </c>
      <c r="R189" s="47">
        <f ca="1">R190+R191</f>
        <v>417900</v>
      </c>
      <c r="S189" s="47">
        <f ca="1">S190+S191</f>
        <v>417900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IFERROR(__xludf.DUMMYFUNCTION("IMPORTRANGE(""https://docs.google.com/spreadsheets/d/1-uDff_7J0KD5mKrp0Vvzr7lt3OU09vwQwhkpOPPYv2Y/edit?usp=sharing"",""งบพรบ!CU86"")"),327800)</f>
        <v>327800</v>
      </c>
      <c r="M191" s="47">
        <f ca="1">IFERROR(__xludf.DUMMYFUNCTION("IMPORTRANGE(""https://docs.google.com/spreadsheets/d/1-uDff_7J0KD5mKrp0Vvzr7lt3OU09vwQwhkpOPPYv2Y/edit?usp=sharing"",""งบพรบ!CZ86"")"),339500)</f>
        <v>339500</v>
      </c>
      <c r="N191" s="47">
        <f ca="1">IFERROR(__xludf.DUMMYFUNCTION("IMPORTRANGE(""https://docs.google.com/spreadsheets/d/1-uDff_7J0KD5mKrp0Vvzr7lt3OU09vwQwhkpOPPYv2Y/edit?usp=sharing"",""งบพรบ!DB86"")"),242130.45)</f>
        <v>242130.45</v>
      </c>
      <c r="O191" s="47">
        <f ca="1">IF(L191&gt;0,N191*100/L191,0)</f>
        <v>73.865298962782191</v>
      </c>
      <c r="P191" s="47">
        <f ca="1">IF(M191&gt;0,N191*100/M191,0)</f>
        <v>71.319720176730485</v>
      </c>
      <c r="Q191" s="47">
        <f ca="1">IFERROR(__xludf.DUMMYFUNCTION("IMPORTRANGE(""https://docs.google.com/spreadsheets/d/1ItG2mGa2ceCfYo0BwxsXqNm01IGEUdYcSSLTEv9YCik/edit?usp=sharing"",""เบิกจ่ายกองทุน!BQ86"")"),417900)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IFERROR(__xludf.DUMMYFUNCTION("IMPORTRANGE(""https://docs.google.com/spreadsheets/d/1ItG2mGa2ceCfYo0BwxsXqNm01IGEUdYcSSLTEv9YCik/edit?usp=sharing"",""เบิกจ่ายกองทุน!BR86"")"),417900)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IFERROR(__xludf.DUMMYFUNCTION("IMPORTRANGE(""https://docs.google.com/spreadsheets/d/1ItG2mGa2ceCfYo0BwxsXqNm01IGEUdYcSSLTEv9YCik/edit?usp=sharing"",""เบิกจ่ายกองทุน!BS86"")"),417900)</f>
        <v>417900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769">
        <v>2300</v>
      </c>
      <c r="O196" s="132">
        <f ca="1">IF(L196&gt;0,N196*100/L196,0)</f>
        <v>38.333333333333336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IFERROR(__xludf.DUMMYFUNCTION("IMPORTRANGE(""https://docs.google.com/spreadsheets/d/1eHaY18a8A9IcSdp1K8H6x8fbOy06t2VsZHhMHf-1x7Y/edit?usp=sharing"",""แผน!AE86"")"),4)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5</v>
      </c>
      <c r="J202" s="228">
        <f>J209</f>
        <v>5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20000</v>
      </c>
      <c r="O203" s="132">
        <f ca="1">IF(L203&gt;0,N203*100/L203,0)</f>
        <v>80</v>
      </c>
      <c r="P203" s="132">
        <f>IF(M203&gt;0,N203*100/M203,0)</f>
        <v>0</v>
      </c>
      <c r="Q203" s="768">
        <f ca="1">Q204+Q205+Q206+Q207</f>
        <v>70000</v>
      </c>
      <c r="R203" s="177"/>
      <c r="S203" s="767">
        <f>S204+S205+S206+S207</f>
        <v>70000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IFERROR(__xludf.DUMMYFUNCTION("IMPORTRANGE(""https://docs.google.com/spreadsheets/d/1eHaY18a8A9IcSdp1K8H6x8fbOy06t2VsZHhMHf-1x7Y/edit?usp=sharing"",""แผน!AH86"")"),0)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IFERROR(__xludf.DUMMYFUNCTION("IMPORTRANGE(""https://docs.google.com/spreadsheets/d/1eHaY18a8A9IcSdp1K8H6x8fbOy06t2VsZHhMHf-1x7Y/edit?usp=sharing"",""แผน!AI86"")"),0)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743">
        <v>70000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743">
        <v>20000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IFERROR(__xludf.DUMMYFUNCTION("IMPORTRANGE(""https://docs.google.com/spreadsheets/d/1eHaY18a8A9IcSdp1K8H6x8fbOy06t2VsZHhMHf-1x7Y/edit?usp=sharing"",""แผน!AK86"")"),5)</f>
        <v>5</v>
      </c>
      <c r="J209" s="167">
        <v>5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IFERROR(__xludf.DUMMYFUNCTION("IMPORTRANGE(""https://docs.google.com/spreadsheets/d/1eHaY18a8A9IcSdp1K8H6x8fbOy06t2VsZHhMHf-1x7Y/edit?usp=sharing"",""แผน!JX86"")"),5)</f>
        <v>5</v>
      </c>
      <c r="J211" s="167">
        <v>5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IFERROR(__xludf.DUMMYFUNCTION("IMPORTRANGE(""https://docs.google.com/spreadsheets/d/1eHaY18a8A9IcSdp1K8H6x8fbOy06t2VsZHhMHf-1x7Y/edit?usp=sharing"",""แผน!JY86"")"),0)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7</v>
      </c>
      <c r="J213" s="228">
        <f>J220</f>
        <v>7</v>
      </c>
      <c r="K213" s="229">
        <f ca="1">IF(I213&gt;0,J213*100/I213,0)</f>
        <v>100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42000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347900</v>
      </c>
      <c r="R214" s="46"/>
      <c r="S214" s="132">
        <f>S215+S216+S217</f>
        <v>299300</v>
      </c>
      <c r="T214" s="132">
        <f ca="1">IF(Q214&gt;0,S214*100/Q214,0)</f>
        <v>86.030468525438351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IFERROR(__xludf.DUMMYFUNCTION("IMPORTRANGE(""https://docs.google.com/spreadsheets/d/1eHaY18a8A9IcSdp1K8H6x8fbOy06t2VsZHhMHf-1x7Y/edit?usp=sharing"",""แผน!AM86"")"),7000)</f>
        <v>7000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IFERROR(__xludf.DUMMYFUNCTION("IMPORTRANGE(""https://docs.google.com/spreadsheets/d/1eHaY18a8A9IcSdp1K8H6x8fbOy06t2VsZHhMHf-1x7Y/edit?usp=sharing"",""แผน!AN86"")"),35000)</f>
        <v>35000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IFERROR(__xludf.DUMMYFUNCTION("IMPORTRANGE(""https://docs.google.com/spreadsheets/d/1eHaY18a8A9IcSdp1K8H6x8fbOy06t2VsZHhMHf-1x7Y/edit?usp=sharing"",""แผน!AO86"")"),0)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743">
        <v>299300</v>
      </c>
      <c r="T217" s="136"/>
      <c r="U217" s="46"/>
    </row>
    <row r="218" spans="1:21" ht="19.5" x14ac:dyDescent="0.3">
      <c r="A218" s="138"/>
      <c r="B218" s="139"/>
      <c r="C218" s="386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IFERROR(__xludf.DUMMYFUNCTION("IMPORTRANGE(""https://docs.google.com/spreadsheets/d/1eHaY18a8A9IcSdp1K8H6x8fbOy06t2VsZHhMHf-1x7Y/edit?usp=sharing"",""แผน!AP86"")"),7)</f>
        <v>7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7">
        <v>7</v>
      </c>
      <c r="K220" s="47">
        <f ca="1">IF(I220&gt;0,J220*100/I220,0)</f>
        <v>100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15000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IFERROR(__xludf.DUMMYFUNCTION("IMPORTRANGE(""https://docs.google.com/spreadsheets/d/1eHaY18a8A9IcSdp1K8H6x8fbOy06t2VsZHhMHf-1x7Y/edit?usp=sharing"",""แผน!AR86"")"),2500)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IFERROR(__xludf.DUMMYFUNCTION("IMPORTRANGE(""https://docs.google.com/spreadsheets/d/1eHaY18a8A9IcSdp1K8H6x8fbOy06t2VsZHhMHf-1x7Y/edit?usp=sharing"",""แผน!AS86"")"),2000)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IFERROR(__xludf.DUMMYFUNCTION("IMPORTRANGE(""https://docs.google.com/spreadsheets/d/1eHaY18a8A9IcSdp1K8H6x8fbOy06t2VsZHhMHf-1x7Y/edit?usp=sharing"",""แผน!AT86"")"),0)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IFERROR(__xludf.DUMMYFUNCTION("IMPORTRANGE(""https://docs.google.com/spreadsheets/d/1eHaY18a8A9IcSdp1K8H6x8fbOy06t2VsZHhMHf-1x7Y/edit?usp=sharing"",""แผน!AV86"")"),15000)</f>
        <v>15000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IFERROR(__xludf.DUMMYFUNCTION("IMPORTRANGE(""https://docs.google.com/spreadsheets/d/1eHaY18a8A9IcSdp1K8H6x8fbOy06t2VsZHhMHf-1x7Y/edit?usp=sharing"",""แผน!AX86"")"),0)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IFERROR(__xludf.DUMMYFUNCTION("IMPORTRANGE(""https://docs.google.com/spreadsheets/d/1eHaY18a8A9IcSdp1K8H6x8fbOy06t2VsZHhMHf-1x7Y/edit?usp=sharing"",""แผน!AY86"")"),0)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IFERROR(__xludf.DUMMYFUNCTION("IMPORTRANGE(""https://docs.google.com/spreadsheets/d/1eHaY18a8A9IcSdp1K8H6x8fbOy06t2VsZHhMHf-1x7Y/edit?usp=sharing"",""แผน!AZ86"")"),0)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IFERROR(__xludf.DUMMYFUNCTION("IMPORTRANGE(""https://docs.google.com/spreadsheets/d/1eHaY18a8A9IcSdp1K8H6x8fbOy06t2VsZHhMHf-1x7Y/edit?usp=sharing"",""แผน!BA86"")"),0)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IFERROR(__xludf.DUMMYFUNCTION("IMPORTRANGE(""https://docs.google.com/spreadsheets/d/1eHaY18a8A9IcSdp1K8H6x8fbOy06t2VsZHhMHf-1x7Y/edit?usp=sharing"",""แผน!BG86"")"),0)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IFERROR(__xludf.DUMMYFUNCTION("IMPORTRANGE(""https://docs.google.com/spreadsheets/d/1eHaY18a8A9IcSdp1K8H6x8fbOy06t2VsZHhMHf-1x7Y/edit?usp=sharing"",""แผน!BB86"")"),0)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IFERROR(__xludf.DUMMYFUNCTION("IMPORTRANGE(""https://docs.google.com/spreadsheets/d/1eHaY18a8A9IcSdp1K8H6x8fbOy06t2VsZHhMHf-1x7Y/edit?usp=sharing"",""แผน!BC86"")"),0)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IFERROR(__xludf.DUMMYFUNCTION("IMPORTRANGE(""https://docs.google.com/spreadsheets/d/1eHaY18a8A9IcSdp1K8H6x8fbOy06t2VsZHhMHf-1x7Y/edit?usp=sharing"",""แผน!BD86"")"),0)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IFERROR(__xludf.DUMMYFUNCTION("IMPORTRANGE(""https://docs.google.com/spreadsheets/d/1eHaY18a8A9IcSdp1K8H6x8fbOy06t2VsZHhMHf-1x7Y/edit?usp=sharing"",""แผน!BE86"")"),0)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IFERROR(__xludf.DUMMYFUNCTION("IMPORTRANGE(""https://docs.google.com/spreadsheets/d/1eHaY18a8A9IcSdp1K8H6x8fbOy06t2VsZHhMHf-1x7Y/edit?usp=sharing"",""แผน!BH86"")"),0)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46780</v>
      </c>
      <c r="T266" s="421">
        <f ca="1">IF(Q266&gt;0,S266*100/Q266,0)</f>
        <v>92.341097512830629</v>
      </c>
      <c r="U266" s="421">
        <f ca="1">IF(R266&gt;0,S266*100/R266,0)</f>
        <v>92.341097512830629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46780</v>
      </c>
      <c r="T268" s="331">
        <f ca="1">IF(Q268&gt;0,S268*100/Q268,0)</f>
        <v>92.341097512830629</v>
      </c>
      <c r="U268" s="331">
        <f ca="1">IF(R268&gt;0,S268*100/R268,0)</f>
        <v>92.341097512830629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46780</v>
      </c>
      <c r="T269" s="331">
        <f ca="1">IF(Q269&gt;0,S269*100/Q269,0)</f>
        <v>92.341097512830629</v>
      </c>
      <c r="U269" s="331">
        <f ca="1">IF(R269&gt;0,S269*100/R269,0)</f>
        <v>92.341097512830629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IFERROR(__xludf.DUMMYFUNCTION("IMPORTRANGE(""https://docs.google.com/spreadsheets/d/1-uDff_7J0KD5mKrp0Vvzr7lt3OU09vwQwhkpOPPYv2Y/edit?usp=sharing"",""งบพรบ!DE86"")"),5000)</f>
        <v>5000</v>
      </c>
      <c r="M271" s="331">
        <f ca="1">IFERROR(__xludf.DUMMYFUNCTION("IMPORTRANGE(""https://docs.google.com/spreadsheets/d/1-uDff_7J0KD5mKrp0Vvzr7lt3OU09vwQwhkpOPPYv2Y/edit?usp=sharing"",""งบพรบ!DJ86"")"),5000)</f>
        <v>5000</v>
      </c>
      <c r="N271" s="331">
        <f ca="1">IFERROR(__xludf.DUMMYFUNCTION("IMPORTRANGE(""https://docs.google.com/spreadsheets/d/1-uDff_7J0KD5mKrp0Vvzr7lt3OU09vwQwhkpOPPYv2Y/edit?usp=sharing"",""งบพรบ!DL86"")"),5000)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IFERROR(__xludf.DUMMYFUNCTION("IMPORTRANGE(""https://docs.google.com/spreadsheets/d/1ItG2mGa2ceCfYo0BwxsXqNm01IGEUdYcSSLTEv9YCik/edit?usp=sharing"",""เบิกจ่ายกองทุน!AP86"")"),50660)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IFERROR(__xludf.DUMMYFUNCTION("IMPORTRANGE(""https://docs.google.com/spreadsheets/d/1ItG2mGa2ceCfYo0BwxsXqNm01IGEUdYcSSLTEv9YCik/edit?usp=sharing"",""เบิกจ่ายกองทุน!AQ86"")"),50660)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IFERROR(__xludf.DUMMYFUNCTION("IMPORTRANGE(""https://docs.google.com/spreadsheets/d/1ItG2mGa2ceCfYo0BwxsXqNm01IGEUdYcSSLTEv9YCik/edit?usp=sharing"",""เบิกจ่ายกองทุน!AR86"")"),46780)</f>
        <v>46780</v>
      </c>
      <c r="T271" s="331">
        <f ca="1">IF(Q271&gt;0,S271*100/Q271,0)</f>
        <v>92.341097512830629</v>
      </c>
      <c r="U271" s="331">
        <f ca="1">IF(R271&gt;0,S271*100/R271,0)</f>
        <v>92.341097512830629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IFERROR(__xludf.DUMMYFUNCTION("IMPORTRANGE(""https://docs.google.com/spreadsheets/d/1-uDff_7J0KD5mKrp0Vvzr7lt3OU09vwQwhkpOPPYv2Y/edit?usp=sharing"",""งบพรบ!DH86"")"),0)</f>
        <v>0</v>
      </c>
      <c r="M274" s="331">
        <f ca="1">IFERROR(__xludf.DUMMYFUNCTION("IMPORTRANGE(""https://docs.google.com/spreadsheets/d/1-uDff_7J0KD5mKrp0Vvzr7lt3OU09vwQwhkpOPPYv2Y/edit?usp=sharing"",""งบพรบ!DK86"")"),0)</f>
        <v>0</v>
      </c>
      <c r="N274" s="331">
        <f ca="1">IFERROR(__xludf.DUMMYFUNCTION("IMPORTRANGE(""https://docs.google.com/spreadsheets/d/1-uDff_7J0KD5mKrp0Vvzr7lt3OU09vwQwhkpOPPYv2Y/edit?usp=sharing"",""งบพรบ!DM86"")"),0)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IFERROR(__xludf.DUMMYFUNCTION("IMPORTRANGE(""https://docs.google.com/spreadsheets/d/1eHaY18a8A9IcSdp1K8H6x8fbOy06t2VsZHhMHf-1x7Y/edit?usp=sharing"",""แผน!EC86"")"),22)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25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127684</v>
      </c>
      <c r="T303" s="132">
        <f ca="1">IF(Q303&gt;0,S303*100/Q303,0)</f>
        <v>56.43885350324102</v>
      </c>
      <c r="U303" s="132">
        <f ca="1">IF(R303&gt;0,S303*100/R303,0)</f>
        <v>56.438908386891448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127684</v>
      </c>
      <c r="T305" s="47">
        <f ca="1">IF(Q305&gt;0,S305*100/Q305,0)</f>
        <v>56.43885350324102</v>
      </c>
      <c r="U305" s="47">
        <f ca="1">IF(R305&gt;0,S305*100/R305,0)</f>
        <v>56.438908386891448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127684</v>
      </c>
      <c r="T306" s="47">
        <f ca="1">IF(Q306&gt;0,S306*100/Q306,0)</f>
        <v>56.43885350324102</v>
      </c>
      <c r="U306" s="47">
        <f ca="1">IF(R306&gt;0,S306*100/R306,0)</f>
        <v>56.438908386891448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IFERROR(__xludf.DUMMYFUNCTION("IMPORTRANGE(""https://docs.google.com/spreadsheets/d/1ItG2mGa2ceCfYo0BwxsXqNm01IGEUdYcSSLTEv9YCik/edit?usp=sharing"",""เบิกจ่ายกองทุน!BC86"")"),226234)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IFERROR(__xludf.DUMMYFUNCTION("IMPORTRANGE(""https://docs.google.com/spreadsheets/d/1ItG2mGa2ceCfYo0BwxsXqNm01IGEUdYcSSLTEv9YCik/edit?usp=sharing"",""เบิกจ่ายกองทุน!BD86"")"),127684)</f>
        <v>127684</v>
      </c>
      <c r="T308" s="47">
        <f ca="1">IF(Q308&gt;0,S308*100/Q308,0)</f>
        <v>56.43885350324102</v>
      </c>
      <c r="U308" s="47">
        <f ca="1">IF(R308&gt;0,S308*100/R308,0)</f>
        <v>56.438908386891448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IFERROR(__xludf.DUMMYFUNCTION("IMPORTRANGE(""https://docs.google.com/spreadsheets/d/1eHaY18a8A9IcSdp1K8H6x8fbOy06t2VsZHhMHf-1x7Y/edit?usp=sharing"",""แผน!EF86"")"),25)</f>
        <v>25</v>
      </c>
      <c r="J314" s="167">
        <v>25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84153</v>
      </c>
      <c r="O320" s="132">
        <f ca="1">IF(L320&gt;0,N320*100/L320,0)</f>
        <v>67.322400000000002</v>
      </c>
      <c r="P320" s="132">
        <f ca="1">IF(M320&gt;0,N320*100/M320,0)</f>
        <v>67.322400000000002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84153</v>
      </c>
      <c r="O322" s="47">
        <f ca="1">IF(L322&gt;0,N322*100/L322,0)</f>
        <v>67.322400000000002</v>
      </c>
      <c r="P322" s="47">
        <f ca="1">IF(M322&gt;0,N322*100/M322,0)</f>
        <v>67.322400000000002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84153</v>
      </c>
      <c r="O323" s="47">
        <f ca="1">IF(L323&gt;0,N323*100/L323,0)</f>
        <v>67.322400000000002</v>
      </c>
      <c r="P323" s="47">
        <f ca="1">IF(M323&gt;0,N323*100/M323,0)</f>
        <v>67.322400000000002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IFERROR(__xludf.DUMMYFUNCTION("IMPORTRANGE(""https://docs.google.com/spreadsheets/d/1-uDff_7J0KD5mKrp0Vvzr7lt3OU09vwQwhkpOPPYv2Y/edit?usp=sharing"",""งบพรบ!EI86"")"),125000)</f>
        <v>125000</v>
      </c>
      <c r="M325" s="47">
        <f ca="1">IFERROR(__xludf.DUMMYFUNCTION("IMPORTRANGE(""https://docs.google.com/spreadsheets/d/1-uDff_7J0KD5mKrp0Vvzr7lt3OU09vwQwhkpOPPYv2Y/edit?usp=sharing"",""งบพรบ!EN86"")"),125000)</f>
        <v>125000</v>
      </c>
      <c r="N325" s="47">
        <f ca="1">IFERROR(__xludf.DUMMYFUNCTION("IMPORTRANGE(""https://docs.google.com/spreadsheets/d/1-uDff_7J0KD5mKrp0Vvzr7lt3OU09vwQwhkpOPPYv2Y/edit?usp=sharing"",""งบพรบ!EP86"")"),84153)</f>
        <v>84153</v>
      </c>
      <c r="O325" s="47">
        <f ca="1">IF(L325&gt;0,N325*100/L325,0)</f>
        <v>67.322400000000002</v>
      </c>
      <c r="P325" s="47">
        <f ca="1">IF(M325&gt;0,N325*100/M325,0)</f>
        <v>67.322400000000002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IFERROR(__xludf.DUMMYFUNCTION("IMPORTRANGE(""https://docs.google.com/spreadsheets/d/1eHaY18a8A9IcSdp1K8H6x8fbOy06t2VsZHhMHf-1x7Y/edit?usp=sharing"",""แผน!EJ86"")"),1)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860</v>
      </c>
      <c r="J332" s="697">
        <f ca="1">J344+J347+J348+J349+J353</f>
        <v>3205</v>
      </c>
      <c r="K332" s="696">
        <f ca="1">IF(I332&gt;0,J332*100/I332,0)</f>
        <v>372.67441860465118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119654</v>
      </c>
      <c r="O333" s="132">
        <f ca="1">IF(L333&gt;0,N333*100/L333,0)</f>
        <v>65.384699453551917</v>
      </c>
      <c r="P333" s="132">
        <f ca="1">IF(M333&gt;0,N333*100/M333,0)</f>
        <v>65.384699453551917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119654</v>
      </c>
      <c r="O335" s="47">
        <f ca="1">IF(L335&gt;0,N335*100/L335,0)</f>
        <v>65.384699453551917</v>
      </c>
      <c r="P335" s="47">
        <f ca="1">IF(M335&gt;0,N335*100/M335,0)</f>
        <v>65.384699453551917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119654</v>
      </c>
      <c r="O336" s="47">
        <f ca="1">IF(L336&gt;0,N336*100/L336,0)</f>
        <v>65.384699453551917</v>
      </c>
      <c r="P336" s="47">
        <f ca="1">IF(M336&gt;0,N336*100/M336,0)</f>
        <v>65.384699453551917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IFERROR(__xludf.DUMMYFUNCTION("IMPORTRANGE(""https://docs.google.com/spreadsheets/d/1-uDff_7J0KD5mKrp0Vvzr7lt3OU09vwQwhkpOPPYv2Y/edit?usp=sharing"",""งบพรบ!ES86"")"),183000)</f>
        <v>183000</v>
      </c>
      <c r="M338" s="47">
        <f ca="1">IFERROR(__xludf.DUMMYFUNCTION("IMPORTRANGE(""https://docs.google.com/spreadsheets/d/1-uDff_7J0KD5mKrp0Vvzr7lt3OU09vwQwhkpOPPYv2Y/edit?usp=sharing"",""งบพรบ!EX86"")"),183000)</f>
        <v>183000</v>
      </c>
      <c r="N338" s="47">
        <f ca="1">IFERROR(__xludf.DUMMYFUNCTION("IMPORTRANGE(""https://docs.google.com/spreadsheets/d/1-uDff_7J0KD5mKrp0Vvzr7lt3OU09vwQwhkpOPPYv2Y/edit?usp=sharing"",""งบพรบ!EZ86"")"),119654)</f>
        <v>119654</v>
      </c>
      <c r="O338" s="47">
        <f ca="1">IF(L338&gt;0,N338*100/L338,0)</f>
        <v>65.384699453551917</v>
      </c>
      <c r="P338" s="47">
        <f ca="1">IF(M338&gt;0,N338*100/M338,0)</f>
        <v>65.384699453551917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411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IFERROR(__xludf.DUMMYFUNCTION("IMPORTRANGE(""https://docs.google.com/spreadsheets/d/1eHaY18a8A9IcSdp1K8H6x8fbOy06t2VsZHhMHf-1x7Y/edit?usp=sharing"",""แผน!EK86"")"),860)</f>
        <v>860</v>
      </c>
      <c r="J344" s="152">
        <f ca="1">IFERROR(__xludf.DUMMYFUNCTION("IMPORTRANGE(""https://docs.google.com/spreadsheets/d/1awYsYK3VOup2i3Pq_Yjnu8DRu_mYwSBnCR2QPthd0rU/edit?usp=sharing"",""ศูนย์ยกเว้นโฉนด!D86"")"),405)</f>
        <v>405</v>
      </c>
      <c r="K344" s="47">
        <f ca="1">IF(I344&gt;0,J344*100/I344,0)</f>
        <v>47.093023255813954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IFERROR(__xludf.DUMMYFUNCTION("IMPORTRANGE(""https://docs.google.com/spreadsheets/d/1eHaY18a8A9IcSdp1K8H6x8fbOy06t2VsZHhMHf-1x7Y/edit?usp=sharing"",""แผน!EL86"")"),3)</f>
        <v>3</v>
      </c>
      <c r="J346" s="152">
        <f ca="1">IFERROR(__xludf.DUMMYFUNCTION("IMPORTRANGE(""https://docs.google.com/spreadsheets/d/1awYsYK3VOup2i3Pq_Yjnu8DRu_mYwSBnCR2QPthd0rU/edit?usp=sharing"",""ศูนย์รวม!E86"")"),5)</f>
        <v>5</v>
      </c>
      <c r="K346" s="47">
        <f ca="1">IF(I346&gt;0,J346*100/I346,0)</f>
        <v>166.66666666666666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2880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IFERROR(__xludf.DUMMYFUNCTION("IMPORTRANGE(""https://docs.google.com/spreadsheets/d/1awYsYK3VOup2i3Pq_Yjnu8DRu_mYwSBnCR2QPthd0rU/edit?usp=sharing"",""โฉนดM3!G86"")"),86)</f>
        <v>86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IFERROR(__xludf.DUMMYFUNCTION("IMPORTRANGE(""https://docs.google.com/spreadsheets/d/1awYsYK3VOup2i3Pq_Yjnu8DRu_mYwSBnCR2QPthd0rU/edit?usp=sharing"",""โฉนดM3!H86"")"),2794)</f>
        <v>2794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916010</v>
      </c>
      <c r="M356" s="132">
        <f ca="1">M357+M358</f>
        <v>982410</v>
      </c>
      <c r="N356" s="132">
        <f ca="1">N357+N358</f>
        <v>720231.04</v>
      </c>
      <c r="O356" s="132">
        <f ca="1">IF(L356&gt;0,N356*100/L356,0)</f>
        <v>78.626984421567457</v>
      </c>
      <c r="P356" s="132">
        <f ca="1">IF(M356&gt;0,N356*100/M356,0)</f>
        <v>73.312673934507998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916010</v>
      </c>
      <c r="M358" s="47">
        <f ca="1">M361+M364</f>
        <v>982410</v>
      </c>
      <c r="N358" s="47">
        <f ca="1">N361+N364</f>
        <v>720231.04</v>
      </c>
      <c r="O358" s="47">
        <f ca="1">IF(L358&gt;0,N358*100/L358,0)</f>
        <v>78.626984421567457</v>
      </c>
      <c r="P358" s="47">
        <f ca="1">IF(M358&gt;0,N358*100/M358,0)</f>
        <v>73.312673934507998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916010</v>
      </c>
      <c r="M359" s="47">
        <f ca="1">M360+M361</f>
        <v>982410</v>
      </c>
      <c r="N359" s="47">
        <f ca="1">N360+N361</f>
        <v>720231.04</v>
      </c>
      <c r="O359" s="47">
        <f ca="1">IF(L359&gt;0,N359*100/L359,0)</f>
        <v>78.626984421567457</v>
      </c>
      <c r="P359" s="47">
        <f ca="1">IF(M359&gt;0,N359*100/M359,0)</f>
        <v>73.312673934507998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IFERROR(__xludf.DUMMYFUNCTION("IMPORTRANGE(""https://docs.google.com/spreadsheets/d/1-uDff_7J0KD5mKrp0Vvzr7lt3OU09vwQwhkpOPPYv2Y/edit?usp=sharing"",""งบพรบ!FC86"")"),916010)</f>
        <v>916010</v>
      </c>
      <c r="M361" s="47">
        <f ca="1">IFERROR(__xludf.DUMMYFUNCTION("IMPORTRANGE(""https://docs.google.com/spreadsheets/d/1-uDff_7J0KD5mKrp0Vvzr7lt3OU09vwQwhkpOPPYv2Y/edit?usp=sharing"",""งบพรบ!FH86"")"),982410)</f>
        <v>982410</v>
      </c>
      <c r="N361" s="47">
        <f ca="1">IFERROR(__xludf.DUMMYFUNCTION("IMPORTRANGE(""https://docs.google.com/spreadsheets/d/1-uDff_7J0KD5mKrp0Vvzr7lt3OU09vwQwhkpOPPYv2Y/edit?usp=sharing"",""งบพรบ!FJ86"")"),720231.04)</f>
        <v>720231.04</v>
      </c>
      <c r="O361" s="47">
        <f ca="1">IF(L361&gt;0,N361*100/L361,0)</f>
        <v>78.626984421567457</v>
      </c>
      <c r="P361" s="47">
        <f ca="1">IF(M361&gt;0,N361*100/M361,0)</f>
        <v>73.312673934507998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245</v>
      </c>
      <c r="J365" s="228">
        <f ca="1">J371</f>
        <v>201</v>
      </c>
      <c r="K365" s="229">
        <f ca="1">IF(I365&gt;0,J365*100/I365,0)</f>
        <v>82.040816326530617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IFERROR(__xludf.DUMMYFUNCTION("IMPORTRANGE(""https://docs.google.com/spreadsheets/d/1tdoBKaGub7dwA3U6UFTqxio9LNnvDCQjHKmttSEBsFQ/edit?usp=sharing"",""จัดที่ดิน!AB86"")"),168)</f>
        <v>168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IFERROR(__xludf.DUMMYFUNCTION("IMPORTRANGE(""https://docs.google.com/spreadsheets/d/1eHaY18a8A9IcSdp1K8H6x8fbOy06t2VsZHhMHf-1x7Y/edit?usp=sharing"",""แผน!EW86"")"),1390)</f>
        <v>1390</v>
      </c>
      <c r="J368" s="685">
        <f ca="1">IFERROR(__xludf.DUMMYFUNCTION("IMPORTRANGE(""https://docs.google.com/spreadsheets/d/1tdoBKaGub7dwA3U6UFTqxio9LNnvDCQjHKmttSEBsFQ/edit?usp=sharing"",""จัดที่ดิน!AC86"")"),1287.23)</f>
        <v>1287.23</v>
      </c>
      <c r="K368" s="47">
        <f ca="1">IF(I368&gt;0,J368*100/I368,0)</f>
        <v>92.606474820143887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IFERROR(__xludf.DUMMYFUNCTION("IMPORTRANGE(""https://docs.google.com/spreadsheets/d/1eHaY18a8A9IcSdp1K8H6x8fbOy06t2VsZHhMHf-1x7Y/edit?usp=sharing"",""แผน!EX86"")"),245)</f>
        <v>245</v>
      </c>
      <c r="J369" s="152">
        <f ca="1">IFERROR(__xludf.DUMMYFUNCTION("IMPORTRANGE(""https://docs.google.com/spreadsheets/d/1tdoBKaGub7dwA3U6UFTqxio9LNnvDCQjHKmttSEBsFQ/edit?usp=sharing"",""จัดที่ดิน!AD86"")"),218)</f>
        <v>218</v>
      </c>
      <c r="K369" s="47">
        <f ca="1">IF(I369&gt;0,J369*100/I369,0)</f>
        <v>88.979591836734699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IFERROR(__xludf.DUMMYFUNCTION("IMPORTRANGE(""https://docs.google.com/spreadsheets/d/1tdoBKaGub7dwA3U6UFTqxio9LNnvDCQjHKmttSEBsFQ/edit?usp=sharing"",""จัดที่ดิน!AE86"")"),2276.05)</f>
        <v>2276.0500000000002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IFERROR(__xludf.DUMMYFUNCTION("IMPORTRANGE(""https://docs.google.com/spreadsheets/d/1eHaY18a8A9IcSdp1K8H6x8fbOy06t2VsZHhMHf-1x7Y/edit?usp=sharing"",""แผน!EY86"")"),245)</f>
        <v>245</v>
      </c>
      <c r="J371" s="152">
        <f ca="1">IFERROR(__xludf.DUMMYFUNCTION("IMPORTRANGE(""https://docs.google.com/spreadsheets/d/1tdoBKaGub7dwA3U6UFTqxio9LNnvDCQjHKmttSEBsFQ/edit?usp=sharing"",""จัดที่ดิน!AF86"")"),201)</f>
        <v>201</v>
      </c>
      <c r="K371" s="47">
        <f ca="1">IF(I371&gt;0,J371*100/I371,0)</f>
        <v>82.040816326530617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IFERROR(__xludf.DUMMYFUNCTION("IMPORTRANGE(""https://docs.google.com/spreadsheets/d/1tdoBKaGub7dwA3U6UFTqxio9LNnvDCQjHKmttSEBsFQ/edit?usp=sharing"",""จัดที่ดิน!AG86"")"),2108.59)</f>
        <v>2108.59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46100</v>
      </c>
      <c r="T375" s="132">
        <f ca="1">IF(Q375&gt;0,S375*100/Q375,0)</f>
        <v>73.760000000000005</v>
      </c>
      <c r="U375" s="132">
        <f ca="1">IF(R375&gt;0,S375*100/R375,0)</f>
        <v>73.760000000000005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46100</v>
      </c>
      <c r="T377" s="47">
        <f ca="1">IF(Q377&gt;0,S377*100/Q377,0)</f>
        <v>73.760000000000005</v>
      </c>
      <c r="U377" s="47">
        <f ca="1">IF(R377&gt;0,S377*100/R377,0)</f>
        <v>73.760000000000005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46100</v>
      </c>
      <c r="T378" s="47">
        <f ca="1">IF(Q378&gt;0,S378*100/Q378,0)</f>
        <v>73.760000000000005</v>
      </c>
      <c r="U378" s="47">
        <f ca="1">IF(R378&gt;0,S378*100/R378,0)</f>
        <v>73.760000000000005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IFERROR(__xludf.DUMMYFUNCTION("IMPORTRANGE(""https://docs.google.com/spreadsheets/d/1-uDff_7J0KD5mKrp0Vvzr7lt3OU09vwQwhkpOPPYv2Y/edit?usp=sharing"",""งบพรบ!IE86"")"),0)</f>
        <v>0</v>
      </c>
      <c r="M380" s="47">
        <f ca="1">IFERROR(__xludf.DUMMYFUNCTION("IMPORTRANGE(""https://docs.google.com/spreadsheets/d/1-uDff_7J0KD5mKrp0Vvzr7lt3OU09vwQwhkpOPPYv2Y/edit?usp=sharing"",""งบพรบ!IJ86"")"),0)</f>
        <v>0</v>
      </c>
      <c r="N380" s="47">
        <f ca="1">IFERROR(__xludf.DUMMYFUNCTION("IMPORTRANGE(""https://docs.google.com/spreadsheets/d/1-uDff_7J0KD5mKrp0Vvzr7lt3OU09vwQwhkpOPPYv2Y/edit?usp=sharing"",""งบพรบ!IL86"")"),0)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IFERROR(__xludf.DUMMYFUNCTION("IMPORTRANGE(""https://docs.google.com/spreadsheets/d/1ItG2mGa2ceCfYo0BwxsXqNm01IGEUdYcSSLTEv9YCik/edit?usp=sharing"",""เบิกจ่ายกองทุน!BY86"")"),46100)</f>
        <v>46100</v>
      </c>
      <c r="T380" s="47">
        <f ca="1">IF(Q380&gt;0,S380*100/Q380,0)</f>
        <v>73.760000000000005</v>
      </c>
      <c r="U380" s="47">
        <f ca="1">IF(R380&gt;0,S380*100/R380,0)</f>
        <v>73.760000000000005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IFERROR(__xludf.DUMMYFUNCTION("IMPORTRANGE(""https://docs.google.com/spreadsheets/d/1-uDff_7J0KD5mKrp0Vvzr7lt3OU09vwQwhkpOPPYv2Y/edit?usp=sharing"",""งบพรบ!IH86"")"),0)</f>
        <v>0</v>
      </c>
      <c r="M383" s="47">
        <f ca="1">IFERROR(__xludf.DUMMYFUNCTION("IMPORTRANGE(""https://docs.google.com/spreadsheets/d/1-uDff_7J0KD5mKrp0Vvzr7lt3OU09vwQwhkpOPPYv2Y/edit?usp=sharing"",""งบพรบ!IK86"")"),0)</f>
        <v>0</v>
      </c>
      <c r="N383" s="47">
        <f ca="1">IFERROR(__xludf.DUMMYFUNCTION("IMPORTRANGE(""https://docs.google.com/spreadsheets/d/1-uDff_7J0KD5mKrp0Vvzr7lt3OU09vwQwhkpOPPYv2Y/edit?usp=sharing"",""งบพรบ!IM86"")"),0)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IFERROR(__xludf.DUMMYFUNCTION("IMPORTRANGE(""https://docs.google.com/spreadsheets/d/1w5rwWK1o49a35cNtocGL0gxDwhFSTZUQu90BiH9_zqM/edit?usp=sharing"",""RTK!G86"")"),1000)</f>
        <v>1000</v>
      </c>
      <c r="J386" s="152">
        <f ca="1">IFERROR(__xludf.DUMMYFUNCTION("IMPORTRANGE(""https://docs.google.com/spreadsheets/d/1w5rwWK1o49a35cNtocGL0gxDwhFSTZUQu90BiH9_zqM/edit?usp=sharing"",""RTK!I86"")"),0)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IFERROR(__xludf.DUMMYFUNCTION("IMPORTRANGE(""https://docs.google.com/spreadsheets/d/1w5rwWK1o49a35cNtocGL0gxDwhFSTZUQu90BiH9_zqM/edit?usp=sharing"",""RTK!K86"")"),0)</f>
        <v>0</v>
      </c>
      <c r="J388" s="330">
        <f ca="1">IFERROR(__xludf.DUMMYFUNCTION("IMPORTRANGE(""https://docs.google.com/spreadsheets/d/1w5rwWK1o49a35cNtocGL0gxDwhFSTZUQu90BiH9_zqM/edit?usp=sharing"",""RTK!M86"")"),0)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38980</v>
      </c>
      <c r="M413" s="132">
        <f ca="1">M414+M415</f>
        <v>38980</v>
      </c>
      <c r="N413" s="132">
        <f ca="1">N414+N415</f>
        <v>12150</v>
      </c>
      <c r="O413" s="132">
        <f ca="1">IF(L413&gt;0,N413*100/L413,0)</f>
        <v>31.16983068240123</v>
      </c>
      <c r="P413" s="132">
        <f ca="1">IF(M413&gt;0,N413*100/M413,0)</f>
        <v>31.16983068240123</v>
      </c>
      <c r="Q413" s="132">
        <f ca="1">Q414+Q415</f>
        <v>15770</v>
      </c>
      <c r="R413" s="132">
        <f ca="1">R414+R415</f>
        <v>15770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38980</v>
      </c>
      <c r="M415" s="47">
        <f ca="1">M418+M421</f>
        <v>38980</v>
      </c>
      <c r="N415" s="47">
        <f ca="1">N418+N421</f>
        <v>12150</v>
      </c>
      <c r="O415" s="47">
        <f ca="1">IF(L415&gt;0,N415*100/L415,0)</f>
        <v>31.16983068240123</v>
      </c>
      <c r="P415" s="47">
        <f ca="1">IF(M415&gt;0,N415*100/M415,0)</f>
        <v>31.16983068240123</v>
      </c>
      <c r="Q415" s="47">
        <f ca="1">Q418+Q421</f>
        <v>15770</v>
      </c>
      <c r="R415" s="47">
        <f ca="1">R418+R421</f>
        <v>15770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38980</v>
      </c>
      <c r="M416" s="47">
        <f ca="1">M417+M418</f>
        <v>38980</v>
      </c>
      <c r="N416" s="47">
        <f ca="1">N417+N418</f>
        <v>12150</v>
      </c>
      <c r="O416" s="47">
        <f ca="1">IF(L416&gt;0,N416*100/L416,0)</f>
        <v>31.16983068240123</v>
      </c>
      <c r="P416" s="47">
        <f ca="1">IF(M416&gt;0,N416*100/M416,0)</f>
        <v>31.16983068240123</v>
      </c>
      <c r="Q416" s="47">
        <f ca="1">Q417+Q418</f>
        <v>15770</v>
      </c>
      <c r="R416" s="47">
        <f ca="1">R417+R418</f>
        <v>15770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IFERROR(__xludf.DUMMYFUNCTION("IMPORTRANGE(""https://docs.google.com/spreadsheets/d/1-uDff_7J0KD5mKrp0Vvzr7lt3OU09vwQwhkpOPPYv2Y/edit?usp=sharing"",""งบพรบ!IO86"")"),38980)</f>
        <v>38980</v>
      </c>
      <c r="M418" s="47">
        <f ca="1">IFERROR(__xludf.DUMMYFUNCTION("IMPORTRANGE(""https://docs.google.com/spreadsheets/d/1-uDff_7J0KD5mKrp0Vvzr7lt3OU09vwQwhkpOPPYv2Y/edit?usp=sharing"",""งบพรบ!IT86"")"),38980)</f>
        <v>38980</v>
      </c>
      <c r="N418" s="47">
        <f ca="1">IFERROR(__xludf.DUMMYFUNCTION("IMPORTRANGE(""https://docs.google.com/spreadsheets/d/1-uDff_7J0KD5mKrp0Vvzr7lt3OU09vwQwhkpOPPYv2Y/edit?usp=sharing"",""งบพรบ!IV86"")"),12150)</f>
        <v>12150</v>
      </c>
      <c r="O418" s="47">
        <f ca="1">IF(L418&gt;0,N418*100/L418,0)</f>
        <v>31.16983068240123</v>
      </c>
      <c r="P418" s="47">
        <f ca="1">IF(M418&gt;0,N418*100/M418,0)</f>
        <v>31.16983068240123</v>
      </c>
      <c r="Q418" s="47">
        <f ca="1">IFERROR(__xludf.DUMMYFUNCTION("IMPORTRANGE(""https://docs.google.com/spreadsheets/d/1ItG2mGa2ceCfYo0BwxsXqNm01IGEUdYcSSLTEv9YCik/edit?usp=sharing"",""เบิกจ่ายกองทุน!BZ86"")"),15770)</f>
        <v>15770</v>
      </c>
      <c r="R418" s="47">
        <f ca="1">IFERROR(__xludf.DUMMYFUNCTION("IMPORTRANGE(""https://docs.google.com/spreadsheets/d/1ItG2mGa2ceCfYo0BwxsXqNm01IGEUdYcSSLTEv9YCik/edit?usp=sharing"",""เบิกจ่ายกองทุน!CA86"")"),15770)</f>
        <v>15770</v>
      </c>
      <c r="S418" s="47">
        <f ca="1">IFERROR(__xludf.DUMMYFUNCTION("IMPORTRANGE(""https://docs.google.com/spreadsheets/d/1ItG2mGa2ceCfYo0BwxsXqNm01IGEUdYcSSLTEv9YCik/edit?usp=sharing"",""เบิกจ่ายกองทุน!CB86"")"),0)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IFERROR(__xludf.DUMMYFUNCTION("IMPORTRANGE(""https://docs.google.com/spreadsheets/d/1-uDff_7J0KD5mKrp0Vvzr7lt3OU09vwQwhkpOPPYv2Y/edit?usp=sharing"",""งบพรบ!IR86"")"),0)</f>
        <v>0</v>
      </c>
      <c r="M421" s="47">
        <f ca="1">IFERROR(__xludf.DUMMYFUNCTION("IMPORTRANGE(""https://docs.google.com/spreadsheets/d/1-uDff_7J0KD5mKrp0Vvzr7lt3OU09vwQwhkpOPPYv2Y/edit?usp=sharing"",""งบพรบ!IU86"")"),0)</f>
        <v>0</v>
      </c>
      <c r="N421" s="47">
        <f ca="1">IFERROR(__xludf.DUMMYFUNCTION("IMPORTRANGE(""https://docs.google.com/spreadsheets/d/1-uDff_7J0KD5mKrp0Vvzr7lt3OU09vwQwhkpOPPYv2Y/edit?usp=sharing"",""งบพรบ!IW86"")"),0)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IFERROR(__xludf.DUMMYFUNCTION("IMPORTRANGE(""https://docs.google.com/spreadsheets/d/1eHaY18a8A9IcSdp1K8H6x8fbOy06t2VsZHhMHf-1x7Y/edit?usp=sharing"",""แผน!HJ86"")"),0)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IFERROR(__xludf.DUMMYFUNCTION("IMPORTRANGE(""https://docs.google.com/spreadsheets/d/1eHaY18a8A9IcSdp1K8H6x8fbOy06t2VsZHhMHf-1x7Y/edit?usp=sharing"",""แผน!HK86"")"),0)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IFERROR(__xludf.DUMMYFUNCTION("IMPORTRANGE(""https://docs.google.com/spreadsheets/d/1eHaY18a8A9IcSdp1K8H6x8fbOy06t2VsZHhMHf-1x7Y/edit?usp=sharing"",""แผน!HJ86"")"),0)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IFERROR(__xludf.DUMMYFUNCTION("IMPORTRANGE(""https://docs.google.com/spreadsheets/d/1eHaY18a8A9IcSdp1K8H6x8fbOy06t2VsZHhMHf-1x7Y/edit?usp=sharing"",""แผน!HK86"")"),0)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IFERROR(__xludf.DUMMYFUNCTION("IMPORTRANGE(""https://docs.google.com/spreadsheets/d/1eHaY18a8A9IcSdp1K8H6x8fbOy06t2VsZHhMHf-1x7Y/edit?usp=sharing"",""แผน!HJ86"")"),0)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IFERROR(__xludf.DUMMYFUNCTION("IMPORTRANGE(""https://docs.google.com/spreadsheets/d/1eHaY18a8A9IcSdp1K8H6x8fbOy06t2VsZHhMHf-1x7Y/edit?usp=sharing"",""แผน!HK86"")"),0)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108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IFERROR(__xludf.DUMMYFUNCTION("IMPORTRANGE(""https://docs.google.com/spreadsheets/d/1eHaY18a8A9IcSdp1K8H6x8fbOy06t2VsZHhMHf-1x7Y/edit?usp=sharing"",""แผน!HL86"")"),108)</f>
        <v>108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IFERROR(__xludf.DUMMYFUNCTION("IMPORTRANGE(""https://docs.google.com/spreadsheets/d/1eHaY18a8A9IcSdp1K8H6x8fbOy06t2VsZHhMHf-1x7Y/edit?usp=sharing"",""แผน!HM86"")"),0)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>J503</f>
        <v>30</v>
      </c>
      <c r="K492" s="311">
        <f ca="1">IF(I492&gt;0,J492*100/I492,0)</f>
        <v>100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1870</v>
      </c>
      <c r="O493" s="132">
        <f ca="1">IF(L493&gt;0,N493*100/L493,0)</f>
        <v>7.7593360995850622</v>
      </c>
      <c r="P493" s="132">
        <f ca="1">IF(M493&gt;0,N493*100/M493,0)</f>
        <v>7.7593360995850622</v>
      </c>
      <c r="Q493" s="132">
        <f ca="1">Q494+Q495</f>
        <v>460185</v>
      </c>
      <c r="R493" s="132">
        <f ca="1">R494+R495</f>
        <v>467885</v>
      </c>
      <c r="S493" s="132">
        <f ca="1">S494+S495</f>
        <v>265665</v>
      </c>
      <c r="T493" s="132">
        <f ca="1">IF(Q493&gt;0,S493*100/Q493,0)</f>
        <v>57.730043352130124</v>
      </c>
      <c r="U493" s="132">
        <f ca="1">IF(R493&gt;0,S493*100/R493,0)</f>
        <v>56.779977986043576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1870</v>
      </c>
      <c r="O495" s="47">
        <f ca="1">IF(L495&gt;0,N495*100/L495,0)</f>
        <v>7.7593360995850622</v>
      </c>
      <c r="P495" s="47">
        <f ca="1">IF(M495&gt;0,N495*100/M495,0)</f>
        <v>7.7593360995850622</v>
      </c>
      <c r="Q495" s="47">
        <f ca="1">Q498+Q501</f>
        <v>460185</v>
      </c>
      <c r="R495" s="47">
        <f ca="1">R498+R501</f>
        <v>467885</v>
      </c>
      <c r="S495" s="47">
        <f ca="1">S498+S501</f>
        <v>265665</v>
      </c>
      <c r="T495" s="47">
        <f ca="1">IF(Q495&gt;0,S495*100/Q495,0)</f>
        <v>57.730043352130124</v>
      </c>
      <c r="U495" s="47">
        <f ca="1">IF(R495&gt;0,S495*100/R495,0)</f>
        <v>56.779977986043576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1870</v>
      </c>
      <c r="O496" s="47">
        <f ca="1">IF(L496&gt;0,N496*100/L496,0)</f>
        <v>7.7593360995850622</v>
      </c>
      <c r="P496" s="47">
        <f ca="1">IF(M496&gt;0,N496*100/M496,0)</f>
        <v>7.7593360995850622</v>
      </c>
      <c r="Q496" s="47">
        <f ca="1">Q497+Q498</f>
        <v>460185</v>
      </c>
      <c r="R496" s="47">
        <f ca="1">R497+R498</f>
        <v>467885</v>
      </c>
      <c r="S496" s="47">
        <f ca="1">S497+S498</f>
        <v>265665</v>
      </c>
      <c r="T496" s="47">
        <f ca="1">IF(Q496&gt;0,S496*100/Q496,0)</f>
        <v>57.730043352130124</v>
      </c>
      <c r="U496" s="47">
        <f ca="1">IF(R496&gt;0,S496*100/R496,0)</f>
        <v>56.779977986043576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IFERROR(__xludf.DUMMYFUNCTION("IMPORTRANGE(""https://docs.google.com/spreadsheets/d/1-uDff_7J0KD5mKrp0Vvzr7lt3OU09vwQwhkpOPPYv2Y/edit?usp=sharing"",""งบพรบ!HU86"")"),24100)</f>
        <v>24100</v>
      </c>
      <c r="M498" s="47">
        <f ca="1">IFERROR(__xludf.DUMMYFUNCTION("IMPORTRANGE(""https://docs.google.com/spreadsheets/d/1-uDff_7J0KD5mKrp0Vvzr7lt3OU09vwQwhkpOPPYv2Y/edit?usp=sharing"",""งบพรบ!HZ86"")"),24100)</f>
        <v>24100</v>
      </c>
      <c r="N498" s="47">
        <f ca="1">IFERROR(__xludf.DUMMYFUNCTION("IMPORTRANGE(""https://docs.google.com/spreadsheets/d/1-uDff_7J0KD5mKrp0Vvzr7lt3OU09vwQwhkpOPPYv2Y/edit?usp=sharing"",""งบพรบ!IB86"")"),1870)</f>
        <v>1870</v>
      </c>
      <c r="O498" s="47">
        <f ca="1">IF(L498&gt;0,N498*100/L498,0)</f>
        <v>7.7593360995850622</v>
      </c>
      <c r="P498" s="47">
        <f ca="1">IF(M498&gt;0,N498*100/M498,0)</f>
        <v>7.7593360995850622</v>
      </c>
      <c r="Q498" s="47">
        <f ca="1">IFERROR(__xludf.DUMMYFUNCTION("IMPORTRANGE(""https://docs.google.com/spreadsheets/d/1ItG2mGa2ceCfYo0BwxsXqNm01IGEUdYcSSLTEv9YCik/edit?usp=sharing"",""เบิกจ่ายกองทุน!AD86"")"),460185)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IFERROR(__xludf.DUMMYFUNCTION("IMPORTRANGE(""https://docs.google.com/spreadsheets/d/1ItG2mGa2ceCfYo0BwxsXqNm01IGEUdYcSSLTEv9YCik/edit?usp=sharing"",""เบิกจ่ายกองทุน!AE86"")"),467885)</f>
        <v>467885</v>
      </c>
      <c r="S498" s="47">
        <f ca="1">IFERROR(__xludf.DUMMYFUNCTION("IMPORTRANGE(""https://docs.google.com/spreadsheets/d/1ItG2mGa2ceCfYo0BwxsXqNm01IGEUdYcSSLTEv9YCik/edit?usp=sharing"",""เบิกจ่ายกองทุน!AF86"")"),265665)</f>
        <v>265665</v>
      </c>
      <c r="T498" s="47">
        <f ca="1">IF(Q498&gt;0,S498*100/Q498,0)</f>
        <v>57.730043352130124</v>
      </c>
      <c r="U498" s="47">
        <f ca="1">IF(R498&gt;0,S498*100/R498,0)</f>
        <v>56.779977986043576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IFERROR(__xludf.DUMMYFUNCTION("IMPORTRANGE(""https://docs.google.com/spreadsheets/d/1-uDff_7J0KD5mKrp0Vvzr7lt3OU09vwQwhkpOPPYv2Y/edit?usp=sharing"",""งบพรบ!HX86"")"),0)</f>
        <v>0</v>
      </c>
      <c r="M501" s="47">
        <f ca="1">IFERROR(__xludf.DUMMYFUNCTION("IMPORTRANGE(""https://docs.google.com/spreadsheets/d/1-uDff_7J0KD5mKrp0Vvzr7lt3OU09vwQwhkpOPPYv2Y/edit?usp=sharing"",""งบพรบ!IA86"")"),0)</f>
        <v>0</v>
      </c>
      <c r="N501" s="47">
        <f ca="1">IFERROR(__xludf.DUMMYFUNCTION("IMPORTRANGE(""https://docs.google.com/spreadsheets/d/1-uDff_7J0KD5mKrp0Vvzr7lt3OU09vwQwhkpOPPYv2Y/edit?usp=sharing"",""งบพรบ!IC86"")"),0)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IFERROR(__xludf.DUMMYFUNCTION("IMPORTRANGE(""https://docs.google.com/spreadsheets/d/1eHaY18a8A9IcSdp1K8H6x8fbOy06t2VsZHhMHf-1x7Y/edit?usp=sharing"",""แผน!GX86"")"),30)</f>
        <v>30</v>
      </c>
      <c r="J503" s="147">
        <f>J505</f>
        <v>30</v>
      </c>
      <c r="K503" s="132">
        <f ca="1">IF(I503&gt;0,J503*100/I503,0)</f>
        <v>100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IFERROR(__xludf.DUMMYFUNCTION("IMPORTRANGE(""https://docs.google.com/spreadsheets/d/1eHaY18a8A9IcSdp1K8H6x8fbOy06t2VsZHhMHf-1x7Y/edit?usp=sharing"",""แผน!GY86"")"),30)</f>
        <v>30</v>
      </c>
      <c r="J504" s="167">
        <v>30</v>
      </c>
      <c r="K504" s="47">
        <f ca="1">IF(I504&gt;0,J504*100/I504,0)</f>
        <v>100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IFERROR(__xludf.DUMMYFUNCTION("IMPORTRANGE(""https://docs.google.com/spreadsheets/d/1eHaY18a8A9IcSdp1K8H6x8fbOy06t2VsZHhMHf-1x7Y/edit?usp=sharing"",""แผน!GZ86"")"),30)</f>
        <v>30</v>
      </c>
      <c r="J505" s="167">
        <v>30</v>
      </c>
      <c r="K505" s="47">
        <f ca="1">IF(I505&gt;0,J505*100/I505,0)</f>
        <v>100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IFERROR(__xludf.DUMMYFUNCTION("IMPORTRANGE(""https://docs.google.com/spreadsheets/d/1eHaY18a8A9IcSdp1K8H6x8fbOy06t2VsZHhMHf-1x7Y/edit?usp=sharing"",""แผน!HA86"")"),30)</f>
        <v>30</v>
      </c>
      <c r="J506" s="167">
        <v>10</v>
      </c>
      <c r="K506" s="47">
        <f ca="1">IF(I506&gt;0,J506*100/I506,0)</f>
        <v>33.333333333333336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IFERROR(__xludf.DUMMYFUNCTION("IMPORTRANGE(""https://docs.google.com/spreadsheets/d/1eHaY18a8A9IcSdp1K8H6x8fbOy06t2VsZHhMHf-1x7Y/edit?usp=sharing"",""แผน!HB86"")"),10)</f>
        <v>10</v>
      </c>
      <c r="J507" s="167">
        <v>10</v>
      </c>
      <c r="K507" s="47">
        <f ca="1">IF(I507&gt;0,J507*100/I507,0)</f>
        <v>100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IFERROR(__xludf.DUMMYFUNCTION("IMPORTRANGE(""https://docs.google.com/spreadsheets/d/1-uDff_7J0KD5mKrp0Vvzr7lt3OU09vwQwhkpOPPYv2Y/edit?usp=sharing"",""งบพรบ!FW86"")"),0)</f>
        <v>0</v>
      </c>
      <c r="M539" s="47">
        <f ca="1">IFERROR(__xludf.DUMMYFUNCTION("IMPORTRANGE(""https://docs.google.com/spreadsheets/d/1-uDff_7J0KD5mKrp0Vvzr7lt3OU09vwQwhkpOPPYv2Y/edit?usp=sharing"",""งบพรบ!GB86"")"),0)</f>
        <v>0</v>
      </c>
      <c r="N539" s="47">
        <f ca="1">IFERROR(__xludf.DUMMYFUNCTION("IMPORTRANGE(""https://docs.google.com/spreadsheets/d/1-uDff_7J0KD5mKrp0Vvzr7lt3OU09vwQwhkpOPPYv2Y/edit?usp=sharing"",""งบพรบ!GD86"")"),0)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IFERROR(__xludf.DUMMYFUNCTION("IMPORTRANGE(""https://docs.google.com/spreadsheets/d/1-uDff_7J0KD5mKrp0Vvzr7lt3OU09vwQwhkpOPPYv2Y/edit?usp=sharing"",""งบพรบ!FZ86"")"),0)</f>
        <v>0</v>
      </c>
      <c r="M542" s="47">
        <f ca="1">IFERROR(__xludf.DUMMYFUNCTION("IMPORTRANGE(""https://docs.google.com/spreadsheets/d/1-uDff_7J0KD5mKrp0Vvzr7lt3OU09vwQwhkpOPPYv2Y/edit?usp=sharing"",""งบพรบ!GC86"")"),0)</f>
        <v>0</v>
      </c>
      <c r="N542" s="47">
        <f ca="1">IFERROR(__xludf.DUMMYFUNCTION("IMPORTRANGE(""https://docs.google.com/spreadsheets/d/1-uDff_7J0KD5mKrp0Vvzr7lt3OU09vwQwhkpOPPYv2Y/edit?usp=sharing"",""งบพรบ!GE86"")"),0)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IFERROR(__xludf.DUMMYFUNCTION("IMPORTRANGE(""https://docs.google.com/spreadsheets/d/1-uDff_7J0KD5mKrp0Vvzr7lt3OU09vwQwhkpOPPYv2Y/edit?usp=sharing"",""งบพรบ!GG86"")"),0)</f>
        <v>0</v>
      </c>
      <c r="M560" s="47">
        <f ca="1">IFERROR(__xludf.DUMMYFUNCTION("IMPORTRANGE(""https://docs.google.com/spreadsheets/d/1-uDff_7J0KD5mKrp0Vvzr7lt3OU09vwQwhkpOPPYv2Y/edit?usp=sharing"",""งบพรบ!GL86"")"),0)</f>
        <v>0</v>
      </c>
      <c r="N560" s="47">
        <f ca="1">IFERROR(__xludf.DUMMYFUNCTION("IMPORTRANGE(""https://docs.google.com/spreadsheets/d/1-uDff_7J0KD5mKrp0Vvzr7lt3OU09vwQwhkpOPPYv2Y/edit?usp=sharing"",""งบพรบ!GN86"")"),0)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IFERROR(__xludf.DUMMYFUNCTION("IMPORTRANGE(""https://docs.google.com/spreadsheets/d/1-uDff_7J0KD5mKrp0Vvzr7lt3OU09vwQwhkpOPPYv2Y/edit?usp=sharing"",""งบพรบ!GJ86"")"),0)</f>
        <v>0</v>
      </c>
      <c r="M563" s="47">
        <f ca="1">IFERROR(__xludf.DUMMYFUNCTION("IMPORTRANGE(""https://docs.google.com/spreadsheets/d/1-uDff_7J0KD5mKrp0Vvzr7lt3OU09vwQwhkpOPPYv2Y/edit?usp=sharing"",""งบพรบ!GM86"")"),0)</f>
        <v>0</v>
      </c>
      <c r="N563" s="47">
        <f ca="1">IFERROR(__xludf.DUMMYFUNCTION("IMPORTRANGE(""https://docs.google.com/spreadsheets/d/1-uDff_7J0KD5mKrp0Vvzr7lt3OU09vwQwhkpOPPYv2Y/edit?usp=sharing"",""งบพรบ!GO86"")"),0)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IFERROR(__xludf.DUMMYFUNCTION("IMPORTRANGE(""https://docs.google.com/spreadsheets/d/1-uDff_7J0KD5mKrp0Vvzr7lt3OU09vwQwhkpOPPYv2Y/edit?usp=sharing"",""งบพรบ!GQ86"")"),0)</f>
        <v>0</v>
      </c>
      <c r="M581" s="47">
        <f ca="1">IFERROR(__xludf.DUMMYFUNCTION("IMPORTRANGE(""https://docs.google.com/spreadsheets/d/1-uDff_7J0KD5mKrp0Vvzr7lt3OU09vwQwhkpOPPYv2Y/edit?usp=sharing"",""งบพรบ!GV86"")"),0)</f>
        <v>0</v>
      </c>
      <c r="N581" s="47">
        <f ca="1">IFERROR(__xludf.DUMMYFUNCTION("IMPORTRANGE(""https://docs.google.com/spreadsheets/d/1-uDff_7J0KD5mKrp0Vvzr7lt3OU09vwQwhkpOPPYv2Y/edit?usp=sharing"",""งบพรบ!GX86"")"),0)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IFERROR(__xludf.DUMMYFUNCTION("IMPORTRANGE(""https://docs.google.com/spreadsheets/d/1-uDff_7J0KD5mKrp0Vvzr7lt3OU09vwQwhkpOPPYv2Y/edit?usp=sharing"",""งบพรบ!GT86"")"),0)</f>
        <v>0</v>
      </c>
      <c r="M584" s="47">
        <f ca="1">IFERROR(__xludf.DUMMYFUNCTION("IMPORTRANGE(""https://docs.google.com/spreadsheets/d/1-uDff_7J0KD5mKrp0Vvzr7lt3OU09vwQwhkpOPPYv2Y/edit?usp=sharing"",""งบพรบ!GW86"")"),0)</f>
        <v>0</v>
      </c>
      <c r="N584" s="47">
        <f ca="1">IFERROR(__xludf.DUMMYFUNCTION("IMPORTRANGE(""https://docs.google.com/spreadsheets/d/1-uDff_7J0KD5mKrp0Vvzr7lt3OU09vwQwhkpOPPYv2Y/edit?usp=sharing"",""งบพรบ!GY86"")"),0)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14770</v>
      </c>
      <c r="M599" s="421">
        <f ca="1">M600+M601</f>
        <v>14770</v>
      </c>
      <c r="N599" s="421">
        <f ca="1">N600+N601</f>
        <v>3910</v>
      </c>
      <c r="O599" s="421">
        <f ca="1">IF(L599&gt;0,N599*100/L599,0)</f>
        <v>26.472579553148275</v>
      </c>
      <c r="P599" s="421">
        <f ca="1">IF(M599&gt;0,N599*100/M599,0)</f>
        <v>26.472579553148275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14770</v>
      </c>
      <c r="M601" s="331">
        <f ca="1">M604+M607</f>
        <v>14770</v>
      </c>
      <c r="N601" s="331">
        <f ca="1">N604+N607</f>
        <v>3910</v>
      </c>
      <c r="O601" s="331">
        <f ca="1">IF(L601&gt;0,N601*100/L601,0)</f>
        <v>26.472579553148275</v>
      </c>
      <c r="P601" s="331">
        <f ca="1">IF(M601&gt;0,N601*100/M601,0)</f>
        <v>26.472579553148275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14770</v>
      </c>
      <c r="M602" s="331">
        <f ca="1">M603+M604</f>
        <v>14770</v>
      </c>
      <c r="N602" s="331">
        <f ca="1">N603+N604</f>
        <v>3910</v>
      </c>
      <c r="O602" s="331">
        <f ca="1">IF(L602&gt;0,N602*100/L602,0)</f>
        <v>26.472579553148275</v>
      </c>
      <c r="P602" s="331">
        <f ca="1">IF(M602&gt;0,N602*100/M602,0)</f>
        <v>26.472579553148275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IFERROR(__xludf.DUMMYFUNCTION("IMPORTRANGE(""https://docs.google.com/spreadsheets/d/1-uDff_7J0KD5mKrp0Vvzr7lt3OU09vwQwhkpOPPYv2Y/edit?usp=sharing"",""งบพรบ!HK86"")"),14770)</f>
        <v>14770</v>
      </c>
      <c r="M604" s="331">
        <f ca="1">IFERROR(__xludf.DUMMYFUNCTION("IMPORTRANGE(""https://docs.google.com/spreadsheets/d/1-uDff_7J0KD5mKrp0Vvzr7lt3OU09vwQwhkpOPPYv2Y/edit?usp=sharing"",""งบพรบ!HP86"")"),14770)</f>
        <v>14770</v>
      </c>
      <c r="N604" s="331">
        <f ca="1">IFERROR(__xludf.DUMMYFUNCTION("IMPORTRANGE(""https://docs.google.com/spreadsheets/d/1-uDff_7J0KD5mKrp0Vvzr7lt3OU09vwQwhkpOPPYv2Y/edit?usp=sharing"",""งบพรบ!HR86"")"),3910)</f>
        <v>3910</v>
      </c>
      <c r="O604" s="331">
        <f ca="1">IF(L604&gt;0,N604*100/L604,0)</f>
        <v>26.472579553148275</v>
      </c>
      <c r="P604" s="331">
        <f ca="1">IF(M604&gt;0,N604*100/M604,0)</f>
        <v>26.472579553148275</v>
      </c>
      <c r="Q604" s="331">
        <f ca="1">IFERROR(__xludf.DUMMYFUNCTION("IMPORTRANGE(""https://docs.google.com/spreadsheets/d/1ItG2mGa2ceCfYo0BwxsXqNm01IGEUdYcSSLTEv9YCik/edit?usp=sharing"",""เบิกจ่ายกองทุน!AV86"")"),0)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IFERROR(__xludf.DUMMYFUNCTION("IMPORTRANGE(""https://docs.google.com/spreadsheets/d/1ItG2mGa2ceCfYo0BwxsXqNm01IGEUdYcSSLTEv9YCik/edit?usp=sharing"",""เบิกจ่ายกองทุน!AW86"")"),0)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IFERROR(__xludf.DUMMYFUNCTION("IMPORTRANGE(""https://docs.google.com/spreadsheets/d/1ItG2mGa2ceCfYo0BwxsXqNm01IGEUdYcSSLTEv9YCik/edit?usp=sharing"",""เบิกจ่ายกองทุน!AX86"")"),0)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IFERROR(__xludf.DUMMYFUNCTION("IMPORTRANGE(""https://docs.google.com/spreadsheets/d/1-uDff_7J0KD5mKrp0Vvzr7lt3OU09vwQwhkpOPPYv2Y/edit?usp=sharing"",""งบพรบ!HN86"")"),0)</f>
        <v>0</v>
      </c>
      <c r="M607" s="331">
        <f ca="1">IFERROR(__xludf.DUMMYFUNCTION("IMPORTRANGE(""https://docs.google.com/spreadsheets/d/1-uDff_7J0KD5mKrp0Vvzr7lt3OU09vwQwhkpOPPYv2Y/edit?usp=sharing"",""งบพรบ!HQ86"")"),0)</f>
        <v>0</v>
      </c>
      <c r="N607" s="331">
        <f ca="1">IFERROR(__xludf.DUMMYFUNCTION("IMPORTRANGE(""https://docs.google.com/spreadsheets/d/1-uDff_7J0KD5mKrp0Vvzr7lt3OU09vwQwhkpOPPYv2Y/edit?usp=sharing"",""งบพรบ!HS86"")"),0)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IFERROR(__xludf.DUMMYFUNCTION("IMPORTRANGE(""https://docs.google.com/spreadsheets/d/1ItG2mGa2ceCfYo0BwxsXqNm01IGEUdYcSSLTEv9YCik/edit?usp=sharing"",""เบิกจ่ายกองทุน!AY86"")"),0)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IFERROR(__xludf.DUMMYFUNCTION("IMPORTRANGE(""https://docs.google.com/spreadsheets/d/1ItG2mGa2ceCfYo0BwxsXqNm01IGEUdYcSSLTEv9YCik/edit?usp=sharing"",""เบิกจ่ายกองทุน!AZ86"")"),0)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IFERROR(__xludf.DUMMYFUNCTION("IMPORTRANGE(""https://docs.google.com/spreadsheets/d/1ItG2mGa2ceCfYo0BwxsXqNm01IGEUdYcSSLTEv9YCik/edit?usp=sharing"",""เบิกจ่ายกองทุน!BA86"")"),0)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x14ac:dyDescent="0.3">
      <c r="A608" s="432"/>
      <c r="B608" s="433"/>
      <c r="C608" s="386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6900</v>
      </c>
      <c r="R616" s="132">
        <f ca="1">R617+R618</f>
        <v>6900</v>
      </c>
      <c r="S616" s="132">
        <f ca="1">S617+S618</f>
        <v>1360</v>
      </c>
      <c r="T616" s="132">
        <f ca="1">IF(Q616&gt;0,S616*100/Q616,0)</f>
        <v>19.710144927536231</v>
      </c>
      <c r="U616" s="132">
        <f ca="1">IF(R616&gt;0,S616*100/R616,0)</f>
        <v>19.710144927536231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6900</v>
      </c>
      <c r="R618" s="47">
        <f ca="1">R621+R624</f>
        <v>6900</v>
      </c>
      <c r="S618" s="47">
        <f ca="1">S621+S624</f>
        <v>1360</v>
      </c>
      <c r="T618" s="47">
        <f ca="1">IF(Q618&gt;0,S618*100/Q618,0)</f>
        <v>19.710144927536231</v>
      </c>
      <c r="U618" s="47">
        <f ca="1">IF(R618&gt;0,S618*100/R618,0)</f>
        <v>19.710144927536231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6900</v>
      </c>
      <c r="R619" s="47">
        <f ca="1">R620+R621</f>
        <v>6900</v>
      </c>
      <c r="S619" s="47">
        <f ca="1">S620+S621</f>
        <v>1360</v>
      </c>
      <c r="T619" s="47">
        <f ca="1">IF(Q619&gt;0,S619*100/Q619,0)</f>
        <v>19.710144927536231</v>
      </c>
      <c r="U619" s="47">
        <f ca="1">IF(R619&gt;0,S619*100/R619,0)</f>
        <v>19.710144927536231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IFERROR(__xludf.DUMMYFUNCTION("IMPORTRANGE(""https://docs.google.com/spreadsheets/d/1ItG2mGa2ceCfYo0BwxsXqNm01IGEUdYcSSLTEv9YCik/edit?usp=sharing"",""เบิกจ่ายกองทุน!G86"")"),6900)</f>
        <v>6900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ca="1">IF(Q621&gt;0,S621*100/Q621,0)</f>
        <v>19.710144927536231</v>
      </c>
      <c r="U621" s="47">
        <f ca="1">IF(R621&gt;0,S621*100/R621,0)</f>
        <v>19.710144927536231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IFERROR(__xludf.DUMMYFUNCTION("IMPORTRANGE(""https://docs.google.com/spreadsheets/d/1eHaY18a8A9IcSdp1K8H6x8fbOy06t2VsZHhMHf-1x7Y/edit?usp=sharing"",""แผน!IC86"")"),0)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IFERROR(__xludf.DUMMYFUNCTION("IMPORTRANGE(""https://docs.google.com/spreadsheets/d/1eHaY18a8A9IcSdp1K8H6x8fbOy06t2VsZHhMHf-1x7Y/edit?usp=sharing"",""แผน!IF86"")"),0)</f>
        <v>0</v>
      </c>
      <c r="J652" s="15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IFERROR(__xludf.DUMMYFUNCTION("IMPORTRANGE(""https://docs.google.com/spreadsheets/d/1eHaY18a8A9IcSdp1K8H6x8fbOy06t2VsZHhMHf-1x7Y/edit?usp=sharing"",""แผน!IG86"")"),0)</f>
        <v>0</v>
      </c>
      <c r="J653" s="15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IFERROR(__xludf.DUMMYFUNCTION("IMPORTRANGE(""https://docs.google.com/spreadsheets/d/1eHaY18a8A9IcSdp1K8H6x8fbOy06t2VsZHhMHf-1x7Y/edit?usp=sharing"",""แผน!IL86"")"),0)</f>
        <v>0</v>
      </c>
      <c r="J673" s="15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IFERROR(__xludf.DUMMYFUNCTION("IMPORTRANGE(""https://docs.google.com/spreadsheets/d/1eHaY18a8A9IcSdp1K8H6x8fbOy06t2VsZHhMHf-1x7Y/edit?usp=sharing"",""แผน!IO86"")"),0)</f>
        <v>0</v>
      </c>
      <c r="J676" s="15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IFERROR(__xludf.DUMMYFUNCTION("IMPORTRANGE(""https://docs.google.com/spreadsheets/d/1eHaY18a8A9IcSdp1K8H6x8fbOy06t2VsZHhMHf-1x7Y/edit?usp=sharing"",""แผน!IP86"")"),0)</f>
        <v>0</v>
      </c>
      <c r="J678" s="15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IFERROR(__xludf.DUMMYFUNCTION("IMPORTRANGE(""https://docs.google.com/spreadsheets/d/1eHaY18a8A9IcSdp1K8H6x8fbOy06t2VsZHhMHf-1x7Y/edit?usp=sharing"",""แผน!IQ86"")"),0)</f>
        <v>0</v>
      </c>
      <c r="J679" s="15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IFERROR(__xludf.DUMMYFUNCTION("IMPORTRANGE(""https://docs.google.com/spreadsheets/d/1eHaY18a8A9IcSdp1K8H6x8fbOy06t2VsZHhMHf-1x7Y/edit?usp=sharing"",""แผน!IR86"")"),0)</f>
        <v>0</v>
      </c>
      <c r="J681" s="15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69540</v>
      </c>
      <c r="R690" s="132">
        <f ca="1">R691+R692</f>
        <v>69540</v>
      </c>
      <c r="S690" s="132">
        <f ca="1">S691+S692</f>
        <v>10000</v>
      </c>
      <c r="T690" s="132">
        <f ca="1">IF(Q690&gt;0,S690*100/Q690,0)</f>
        <v>14.380212827149842</v>
      </c>
      <c r="U690" s="132">
        <f ca="1">IF(R690&gt;0,S690*100/R690,0)</f>
        <v>14.380212827149842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69540</v>
      </c>
      <c r="R692" s="47">
        <f ca="1">R695+R698</f>
        <v>69540</v>
      </c>
      <c r="S692" s="47">
        <f ca="1">S695+S698</f>
        <v>10000</v>
      </c>
      <c r="T692" s="47">
        <f ca="1">IF(Q692&gt;0,S692*100/Q692,0)</f>
        <v>14.380212827149842</v>
      </c>
      <c r="U692" s="47">
        <f ca="1">IF(R692&gt;0,S692*100/R692,0)</f>
        <v>14.380212827149842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69540</v>
      </c>
      <c r="R693" s="47">
        <f ca="1">R694+R695</f>
        <v>69540</v>
      </c>
      <c r="S693" s="47">
        <f ca="1">S694+S695</f>
        <v>10000</v>
      </c>
      <c r="T693" s="47">
        <f ca="1">IF(Q693&gt;0,S693*100/Q693,0)</f>
        <v>14.380212827149842</v>
      </c>
      <c r="U693" s="47">
        <f ca="1">IF(R693&gt;0,S693*100/R693,0)</f>
        <v>14.380212827149842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IFERROR(__xludf.DUMMYFUNCTION("IMPORTRANGE(""https://docs.google.com/spreadsheets/d/1ItG2mGa2ceCfYo0BwxsXqNm01IGEUdYcSSLTEv9YCik/edit?usp=sharing"",""เบิกจ่ายกองทุน!N86"")"),10000)</f>
        <v>10000</v>
      </c>
      <c r="T695" s="47">
        <f ca="1">IF(Q695&gt;0,S695*100/Q695,0)</f>
        <v>14.380212827149842</v>
      </c>
      <c r="U695" s="47">
        <f ca="1">IF(R695&gt;0,S695*100/R695,0)</f>
        <v>14.380212827149842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IFERROR(__xludf.DUMMYFUNCTION("IMPORTRANGE(""https://docs.google.com/spreadsheets/d/1eHaY18a8A9IcSdp1K8H6x8fbOy06t2VsZHhMHf-1x7Y/edit?usp=sharing"",""แผน!LJ86"")"),0)</f>
        <v>0</v>
      </c>
      <c r="J703" s="15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IFERROR(__xludf.DUMMYFUNCTION("IMPORTRANGE(""https://docs.google.com/spreadsheets/d/1eHaY18a8A9IcSdp1K8H6x8fbOy06t2VsZHhMHf-1x7Y/edit?usp=sharing"",""แผน!LK86"")"),3)</f>
        <v>3</v>
      </c>
      <c r="J705" s="152">
        <f ca="1">IFERROR(__xludf.DUMMYFUNCTION("IMPORTRANGE(""https://docs.google.com/spreadsheets/d/1tdoBKaGub7dwA3U6UFTqxio9LNnvDCQjHKmttSEBsFQ/edit?usp=sharing"",""จัดที่ดิน!AR86"")"),0)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IFERROR(__xludf.DUMMYFUNCTION("IMPORTRANGE(""https://docs.google.com/spreadsheets/d/1eHaY18a8A9IcSdp1K8H6x8fbOy06t2VsZHhMHf-1x7Y/edit?usp=sharing"",""แผน!LJ86"")"),0)</f>
        <v>0</v>
      </c>
      <c r="J707" s="15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IFERROR(__xludf.DUMMYFUNCTION("IMPORTRANGE(""https://docs.google.com/spreadsheets/d/1eHaY18a8A9IcSdp1K8H6x8fbOy06t2VsZHhMHf-1x7Y/edit?usp=sharing"",""แผน!LK86"")"),3)</f>
        <v>3</v>
      </c>
      <c r="J709" s="15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ca="1">IF(I709&gt;0,J709*100/I709,0)</f>
        <v>66.666666666666671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IFERROR(__xludf.DUMMYFUNCTION("IMPORTRANGE(""https://docs.google.com/spreadsheets/d/1eHaY18a8A9IcSdp1K8H6x8fbOy06t2VsZHhMHf-1x7Y/edit?usp=sharing"",""แผน!GA86"")"),11)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IFERROR(__xludf.DUMMYFUNCTION("IMPORTRANGE(""https://docs.google.com/spreadsheets/d/1eHaY18a8A9IcSdp1K8H6x8fbOy06t2VsZHhMHf-1x7Y/edit?usp=sharing"",""แผน!FZ86"")"),100)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33962</v>
      </c>
      <c r="T728" s="132">
        <f ca="1">IF(Q728&gt;0,S728*100/Q728,0)</f>
        <v>30.355195652562522</v>
      </c>
      <c r="U728" s="132">
        <f ca="1">IF(R728&gt;0,S728*100/R728,0)</f>
        <v>30.355195652562522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33962</v>
      </c>
      <c r="T730" s="47">
        <f ca="1">IF(Q730&gt;0,S730*100/Q730,0)</f>
        <v>30.355195652562522</v>
      </c>
      <c r="U730" s="47">
        <f ca="1">IF(R730&gt;0,S730*100/R730,0)</f>
        <v>30.355195652562522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33962</v>
      </c>
      <c r="T731" s="47">
        <f ca="1">IF(Q731&gt;0,S731*100/Q731,0)</f>
        <v>30.355195652562522</v>
      </c>
      <c r="U731" s="47">
        <f ca="1">IF(R731&gt;0,S731*100/R731,0)</f>
        <v>30.355195652562522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IFERROR(__xludf.DUMMYFUNCTION("IMPORTRANGE(""https://docs.google.com/spreadsheets/d/1ItG2mGa2ceCfYo0BwxsXqNm01IGEUdYcSSLTEv9YCik/edit?usp=sharing"",""เบิกจ่ายกองทุน!Q86"")"),33962)</f>
        <v>33962</v>
      </c>
      <c r="T733" s="47">
        <f ca="1">IF(Q733&gt;0,S733*100/Q733,0)</f>
        <v>30.355195652562522</v>
      </c>
      <c r="U733" s="47">
        <f ca="1">IF(R733&gt;0,S733*100/R733,0)</f>
        <v>30.355195652562522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IFERROR(__xludf.DUMMYFUNCTION("IMPORTRANGE(""https://docs.google.com/spreadsheets/d/1eHaY18a8A9IcSdp1K8H6x8fbOy06t2VsZHhMHf-1x7Y/edit?usp=sharing"",""แผน!GB86"")"),80)</f>
        <v>80</v>
      </c>
      <c r="J740" s="554">
        <v>80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IFERROR(__xludf.DUMMYFUNCTION("IMPORTRANGE(""https://docs.google.com/spreadsheets/d/1eHaY18a8A9IcSdp1K8H6x8fbOy06t2VsZHhMHf-1x7Y/edit?usp=sharing"",""แผน!GC86"")"),8)</f>
        <v>8</v>
      </c>
      <c r="J742" s="554">
        <v>8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IFERROR(__xludf.DUMMYFUNCTION("IMPORTRANGE(""https://docs.google.com/spreadsheets/d/1eHaY18a8A9IcSdp1K8H6x8fbOy06t2VsZHhMHf-1x7Y/edit?usp=sharing"",""แผน!GD86"")"),20)</f>
        <v>20</v>
      </c>
      <c r="J744" s="554">
        <v>20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IFERROR(__xludf.DUMMYFUNCTION("IMPORTRANGE(""https://docs.google.com/spreadsheets/d/1eHaY18a8A9IcSdp1K8H6x8fbOy06t2VsZHhMHf-1x7Y/edit?usp=sharing"",""แผน!GE86"")"),2)</f>
        <v>2</v>
      </c>
      <c r="J746" s="554">
        <v>2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IFERROR(__xludf.DUMMYFUNCTION("IMPORTRANGE(""https://docs.google.com/spreadsheets/d/1eHaY18a8A9IcSdp1K8H6x8fbOy06t2VsZHhMHf-1x7Y/edit?usp=sharing"",""แผน!GB86"")"),80)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IFERROR(__xludf.DUMMYFUNCTION("IMPORTRANGE(""https://docs.google.com/spreadsheets/d/1eHaY18a8A9IcSdp1K8H6x8fbOy06t2VsZHhMHf-1x7Y/edit?usp=sharing"",""แผน!GD86"")"),20)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IFERROR(__xludf.DUMMYFUNCTION("IMPORTRANGE(""https://docs.google.com/spreadsheets/d/1ItG2mGa2ceCfYo0BwxsXqNm01IGEUdYcSSLTEv9YCik/edit?usp=sharing"",""เบิกจ่ายกองทุน!AC86"")"),0)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IFERROR(__xludf.DUMMYFUNCTION("IMPORTRANGE(""https://docs.google.com/spreadsheets/d/1eHaY18a8A9IcSdp1K8H6x8fbOy06t2VsZHhMHf-1x7Y/edit?usp=sharing"",""แผน!FI86"")"),1)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IFERROR(__xludf.DUMMYFUNCTION("IMPORTRANGE(""https://docs.google.com/spreadsheets/d/1eHaY18a8A9IcSdp1K8H6x8fbOy06t2VsZHhMHf-1x7Y/edit?usp=sharing"",""แผน!FT86"")"),0)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IFERROR(__xludf.DUMMYFUNCTION("IMPORTRANGE(""https://docs.google.com/spreadsheets/d/10OvvATaaLtwErnr3qtWFcTmtbfpFEt5Bsqel9sXx0uE/edit?usp=sharing"",""งานกองทุน!D86"")"),2529899.87)</f>
        <v>2529899.87</v>
      </c>
      <c r="J778" s="152">
        <f ca="1">IFERROR(__xludf.DUMMYFUNCTION("IMPORTRANGE(""https://docs.google.com/spreadsheets/d/10OvvATaaLtwErnr3qtWFcTmtbfpFEt5Bsqel9sXx0uE/edit?usp=sharing"",""งานกองทุน!F86"")"),1969368.65)</f>
        <v>1969368.65</v>
      </c>
      <c r="K778" s="47">
        <f ca="1">IF(I778&gt;0,J778*100/I778,0)</f>
        <v>77.843738930268415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IFERROR(__xludf.DUMMYFUNCTION("IMPORTRANGE(""https://docs.google.com/spreadsheets/d/10OvvATaaLtwErnr3qtWFcTmtbfpFEt5Bsqel9sXx0uE/edit?usp=sharing"",""งานกองทุน!C86"")"),188)</f>
        <v>188</v>
      </c>
      <c r="J779" s="152">
        <f ca="1">IFERROR(__xludf.DUMMYFUNCTION("IMPORTRANGE(""https://docs.google.com/spreadsheets/d/10OvvATaaLtwErnr3qtWFcTmtbfpFEt5Bsqel9sXx0uE/edit?usp=sharing"",""งานกองทุน!E86"")"),165)</f>
        <v>165</v>
      </c>
      <c r="K779" s="47">
        <f ca="1">IF(I779&gt;0,J779*100/I779,0)</f>
        <v>87.765957446808514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152">
        <f ca="1">IFERROR(__xludf.DUMMYFUNCTION("IMPORTRANGE(""https://docs.google.com/spreadsheets/d/10OvvATaaLtwErnr3qtWFcTmtbfpFEt5Bsqel9sXx0uE/edit?usp=sharing"",""งานกองทุน!K86"")"),480230.4)</f>
        <v>480230.40000000002</v>
      </c>
      <c r="K780" s="47">
        <f ca="1">IF(I780&gt;0,J780*100/I780,0)</f>
        <v>17.76360343630062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IFERROR(__xludf.DUMMYFUNCTION("IMPORTRANGE(""https://docs.google.com/spreadsheets/d/10OvvATaaLtwErnr3qtWFcTmtbfpFEt5Bsqel9sXx0uE/edit?usp=sharing"",""งานกองทุน!H86"")"),99)</f>
        <v>99</v>
      </c>
      <c r="J781" s="152">
        <f ca="1">IFERROR(__xludf.DUMMYFUNCTION("IMPORTRANGE(""https://docs.google.com/spreadsheets/d/10OvvATaaLtwErnr3qtWFcTmtbfpFEt5Bsqel9sXx0uE/edit?usp=sharing"",""งานกองทุน!J86"")"),74)</f>
        <v>74</v>
      </c>
      <c r="K781" s="47">
        <f ca="1">IF(I781&gt;0,J781*100/I781,0)</f>
        <v>74.747474747474755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IFERROR(__xludf.DUMMYFUNCTION("IMPORTRANGE(""https://docs.google.com/spreadsheets/d/10OvvATaaLtwErnr3qtWFcTmtbfpFEt5Bsqel9sXx0uE/edit?usp=sharing"",""งานกองทุน!N86"")"),0)</f>
        <v>0</v>
      </c>
      <c r="J782" s="15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IFERROR(__xludf.DUMMYFUNCTION("IMPORTRANGE(""https://docs.google.com/spreadsheets/d/10OvvATaaLtwErnr3qtWFcTmtbfpFEt5Bsqel9sXx0uE/edit?usp=sharing"",""งานกองทุน!M86"")"),0)</f>
        <v>0</v>
      </c>
      <c r="J783" s="15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IFERROR(__xludf.DUMMYFUNCTION("IMPORTRANGE(""https://docs.google.com/spreadsheets/d/10OvvATaaLtwErnr3qtWFcTmtbfpFEt5Bsqel9sXx0uE/edit?usp=sharing"",""งานกองทุน!S86"")"),1848000)</f>
        <v>1848000</v>
      </c>
      <c r="J784" s="152">
        <f ca="1">IFERROR(__xludf.DUMMYFUNCTION("IMPORTRANGE(""https://docs.google.com/spreadsheets/d/10OvvATaaLtwErnr3qtWFcTmtbfpFEt5Bsqel9sXx0uE/edit?usp=sharing"",""งานกองทุน!U86"")"),3300000)</f>
        <v>3300000</v>
      </c>
      <c r="K784" s="47">
        <f ca="1">IF(I784&gt;0,J784*100/I784,0)</f>
        <v>178.57142857142858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IFERROR(__xludf.DUMMYFUNCTION("IMPORTRANGE(""https://docs.google.com/spreadsheets/d/10OvvATaaLtwErnr3qtWFcTmtbfpFEt5Bsqel9sXx0uE/edit?usp=sharing"",""งานกองทุน!R86"")"),66)</f>
        <v>66</v>
      </c>
      <c r="J785" s="197">
        <f ca="1">IFERROR(__xludf.DUMMYFUNCTION("IMPORTRANGE(""https://docs.google.com/spreadsheets/d/10OvvATaaLtwErnr3qtWFcTmtbfpFEt5Bsqel9sXx0uE/edit?usp=sharing"",""งานกองทุน!T86"")"),66)</f>
        <v>66</v>
      </c>
      <c r="K785" s="111">
        <f ca="1">IF(I785&gt;0,J785*100/I785,0)</f>
        <v>100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68F35-2C14-4CA4-8BAE-C380C468544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332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1692740</v>
      </c>
      <c r="M18" s="35">
        <f ca="1">M19+M20</f>
        <v>1841190</v>
      </c>
      <c r="N18" s="35">
        <f ca="1">N19+N20</f>
        <v>1262935.94</v>
      </c>
      <c r="O18" s="35">
        <f ca="1">IF(L18&gt;0,N18*100/L18,0)</f>
        <v>74.608973616739718</v>
      </c>
      <c r="P18" s="35">
        <f ca="1">IF(M18&gt;0,N18*100/M18,0)</f>
        <v>68.593460750927392</v>
      </c>
      <c r="Q18" s="35">
        <f ca="1">Q19+Q20</f>
        <v>736960.22</v>
      </c>
      <c r="R18" s="35">
        <f ca="1">R19+R20</f>
        <v>727585</v>
      </c>
      <c r="S18" s="35">
        <f ca="1">S19+S20</f>
        <v>338444.55</v>
      </c>
      <c r="T18" s="35">
        <f ca="1">IF(Q18&gt;0,S18*100/Q18,0)</f>
        <v>45.92439874163086</v>
      </c>
      <c r="U18" s="35">
        <f ca="1">IF(R18&gt;0,S18*100/R18,0)</f>
        <v>46.516152751912145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1692740</v>
      </c>
      <c r="M20" s="39">
        <f ca="1">M23+M26</f>
        <v>1841190</v>
      </c>
      <c r="N20" s="39">
        <f ca="1">N23+N26</f>
        <v>1262935.94</v>
      </c>
      <c r="O20" s="39">
        <f ca="1">IF(L20&gt;0,N20*100/L20,0)</f>
        <v>74.608973616739718</v>
      </c>
      <c r="P20" s="39">
        <f ca="1">IF(M20&gt;0,N20*100/M20,0)</f>
        <v>68.593460750927392</v>
      </c>
      <c r="Q20" s="39">
        <f ca="1">Q23+Q26</f>
        <v>736960.22</v>
      </c>
      <c r="R20" s="39">
        <f ca="1">R23+R26</f>
        <v>727585</v>
      </c>
      <c r="S20" s="39">
        <f ca="1">S23+S26</f>
        <v>338444.55</v>
      </c>
      <c r="T20" s="39">
        <f ca="1">IF(Q20&gt;0,S20*100/Q20,0)</f>
        <v>45.92439874163086</v>
      </c>
      <c r="U20" s="39">
        <f ca="1">IF(R20&gt;0,S20*100/R20,0)</f>
        <v>46.516152751912145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1692740</v>
      </c>
      <c r="M21" s="47">
        <f ca="1">M22+M23</f>
        <v>1841190</v>
      </c>
      <c r="N21" s="47">
        <f ca="1">N22+N23</f>
        <v>1262935.94</v>
      </c>
      <c r="O21" s="47">
        <f ca="1">IF(L21&gt;0,N21*100/L21,0)</f>
        <v>74.608973616739718</v>
      </c>
      <c r="P21" s="47">
        <f ca="1">IF(M21&gt;0,N21*100/M21,0)</f>
        <v>68.593460750927392</v>
      </c>
      <c r="Q21" s="47">
        <f ca="1">Q22+Q23</f>
        <v>736960.22</v>
      </c>
      <c r="R21" s="47">
        <f ca="1">R22+R23</f>
        <v>727585</v>
      </c>
      <c r="S21" s="47">
        <f ca="1">S22+S23</f>
        <v>338444.55</v>
      </c>
      <c r="T21" s="47">
        <f ca="1">IF(Q21&gt;0,S21*100/Q21,0)</f>
        <v>45.92439874163086</v>
      </c>
      <c r="U21" s="47">
        <f ca="1">IF(R21&gt;0,S21*100/R21,0)</f>
        <v>46.516152751912145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1692740</v>
      </c>
      <c r="M23" s="47">
        <f ca="1">M49+M64+M77+M99+M122+M144+M162+M191+M178+M271+M287+M308+M325+M338+M361+M380+M418+M498+M518+M539+M560+M581+M604+M621+M647+M695+M719+M733+M765</f>
        <v>1841190</v>
      </c>
      <c r="N23" s="47">
        <f ca="1">N49+N64+N77+N99+N122+N144+N162+N191+N178+N271+N287+N308+N325+N338+N361+N380+N418+N498+N518+N539+N560+N581+N604+N621+N647+N695+N719+N733+N765</f>
        <v>1262935.94</v>
      </c>
      <c r="O23" s="47">
        <f ca="1">IF(L23&gt;0,N23*100/L23,0)</f>
        <v>74.608973616739718</v>
      </c>
      <c r="P23" s="47">
        <f ca="1">IF(M23&gt;0,N23*100/M23,0)</f>
        <v>68.593460750927392</v>
      </c>
      <c r="Q23" s="47">
        <f ca="1">Q77+Q99+Q122+Q144+Q162+Q178+Q191+Q271+Q287+Q308+Q338+Q380+Q397+Q418+Q498+Q604+Q621+Q647+Q695+Q719+Q733+Q765</f>
        <v>736960.22</v>
      </c>
      <c r="R23" s="47">
        <f ca="1">R77+R99+R122+R144+R162+R178+R191+R271+R287+R308+R338+R380+R397+R418+R498+R604+R621+R647+R695+R719+R733+R765</f>
        <v>727585</v>
      </c>
      <c r="S23" s="47">
        <f ca="1">S77+S99+S122+S144+S162+S178+S191+S271+S287+S308+S338+S380+S397+S418+S498+S604+S621+S647+S695+S719+S733+S765</f>
        <v>338444.55</v>
      </c>
      <c r="T23" s="47">
        <f ca="1">IF(Q23&gt;0,S23*100/Q23,0)</f>
        <v>45.92439874163086</v>
      </c>
      <c r="U23" s="47">
        <f ca="1">IF(R23&gt;0,S23*100/R23,0)</f>
        <v>46.516152751912145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1675180</v>
      </c>
      <c r="M40" s="803">
        <f ca="1">M44+M59+M72+M94+M125+M139+M157+M173+M186+M266+M282+M303+M320+M333+M356</f>
        <v>1823630</v>
      </c>
      <c r="N40" s="803">
        <f ca="1">N44+N59+N72+N94+N125+N139+N157+N173+N186+N266+N282+N303+N320+N333+N356</f>
        <v>1262935.94</v>
      </c>
      <c r="O40" s="803">
        <f ca="1">IF(L40&gt;0,N40*100/L40,0)</f>
        <v>75.39105887128548</v>
      </c>
      <c r="P40" s="803">
        <f ca="1">IF(M40&gt;0,N40*100/M40,0)</f>
        <v>69.253957217198661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339300</v>
      </c>
      <c r="M44" s="79">
        <f ca="1">M45+M46</f>
        <v>412340</v>
      </c>
      <c r="N44" s="79">
        <f ca="1">N45+N46</f>
        <v>350730</v>
      </c>
      <c r="O44" s="79">
        <f ca="1">IF(L44&gt;0,N44*100/L44,0)</f>
        <v>103.36870026525199</v>
      </c>
      <c r="P44" s="79">
        <f ca="1">IF(M44&gt;0,N44*100/M44,0)</f>
        <v>85.058446912741914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339300</v>
      </c>
      <c r="M46" s="83">
        <f ca="1">M49+M52</f>
        <v>412340</v>
      </c>
      <c r="N46" s="83">
        <f ca="1">N49+N52</f>
        <v>350730</v>
      </c>
      <c r="O46" s="83">
        <f ca="1">IF(L46&gt;0,N46*100/L46,0)</f>
        <v>103.36870026525199</v>
      </c>
      <c r="P46" s="83">
        <f ca="1">IF(M46&gt;0,N46*100/M46,0)</f>
        <v>85.058446912741914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339300</v>
      </c>
      <c r="M47" s="47">
        <f ca="1">M48+M49</f>
        <v>412340</v>
      </c>
      <c r="N47" s="47">
        <f ca="1">N48+N49</f>
        <v>350730</v>
      </c>
      <c r="O47" s="47">
        <f ca="1">IF(L47&gt;0,N47*100/L47,0)</f>
        <v>103.36870026525199</v>
      </c>
      <c r="P47" s="47">
        <f ca="1">IF(M47&gt;0,N47*100/M47,0)</f>
        <v>85.058446912741914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IFERROR(__xludf.DUMMYFUNCTION("IMPORTRANGE(""https://docs.google.com/spreadsheets/d/1-uDff_7J0KD5mKrp0Vvzr7lt3OU09vwQwhkpOPPYv2Y/edit?usp=sharing"",""งบพรบ!P87"")"),339300)</f>
        <v>339300</v>
      </c>
      <c r="M49" s="47">
        <f ca="1">IFERROR(__xludf.DUMMYFUNCTION("IMPORTRANGE(""https://docs.google.com/spreadsheets/d/1-uDff_7J0KD5mKrp0Vvzr7lt3OU09vwQwhkpOPPYv2Y/edit?usp=sharing"",""งบพรบ!V87"")"),412340)</f>
        <v>412340</v>
      </c>
      <c r="N49" s="47">
        <f ca="1">IFERROR(__xludf.DUMMYFUNCTION("IMPORTRANGE(""https://docs.google.com/spreadsheets/d/1-uDff_7J0KD5mKrp0Vvzr7lt3OU09vwQwhkpOPPYv2Y/edit?usp=sharing"",""งบพรบ!Y87"")"),350730)</f>
        <v>350730</v>
      </c>
      <c r="O49" s="47">
        <f ca="1">IF(L49&gt;0,N49*100/L49,0)</f>
        <v>103.36870026525199</v>
      </c>
      <c r="P49" s="47">
        <f ca="1">IF(M49&gt;0,N49*100/M49,0)</f>
        <v>85.058446912741914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318900</v>
      </c>
      <c r="M59" s="106">
        <f ca="1">M60+M61</f>
        <v>318900</v>
      </c>
      <c r="N59" s="106">
        <f ca="1">N60+N61</f>
        <v>193675.63</v>
      </c>
      <c r="O59" s="106">
        <f ca="1">IF(L59&gt;0,N59*100/L59,0)</f>
        <v>60.732402006898717</v>
      </c>
      <c r="P59" s="106">
        <f ca="1">IF(M59&gt;0,N59*100/M59,0)</f>
        <v>60.732402006898717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318900</v>
      </c>
      <c r="M61" s="109">
        <f ca="1">M64+M67</f>
        <v>318900</v>
      </c>
      <c r="N61" s="109">
        <f ca="1">N64+N67</f>
        <v>193675.63</v>
      </c>
      <c r="O61" s="109">
        <f ca="1">IF(L61&gt;0,N61*100/L61,0)</f>
        <v>60.732402006898717</v>
      </c>
      <c r="P61" s="109">
        <f ca="1">IF(M61&gt;0,N61*100/M61,0)</f>
        <v>60.732402006898717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318900</v>
      </c>
      <c r="M62" s="47">
        <f ca="1">M63+M64</f>
        <v>318900</v>
      </c>
      <c r="N62" s="47">
        <f ca="1">N63+N64</f>
        <v>193675.63</v>
      </c>
      <c r="O62" s="47">
        <f ca="1">IF(L62&gt;0,N62*100/L62,0)</f>
        <v>60.732402006898717</v>
      </c>
      <c r="P62" s="47">
        <f ca="1">IF(M62&gt;0,N62*100/M62,0)</f>
        <v>60.732402006898717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IFERROR(__xludf.DUMMYFUNCTION("IMPORTRANGE(""https://docs.google.com/spreadsheets/d/1-uDff_7J0KD5mKrp0Vvzr7lt3OU09vwQwhkpOPPYv2Y/edit?usp=sharing"",""งบพรบ!AC87"")"),318900)</f>
        <v>318900</v>
      </c>
      <c r="M64" s="47">
        <f ca="1">IFERROR(__xludf.DUMMYFUNCTION("IMPORTRANGE(""https://docs.google.com/spreadsheets/d/1-uDff_7J0KD5mKrp0Vvzr7lt3OU09vwQwhkpOPPYv2Y/edit?usp=sharing"",""งบพรบ!AH87"")"),318900)</f>
        <v>318900</v>
      </c>
      <c r="N64" s="47">
        <f ca="1">IFERROR(__xludf.DUMMYFUNCTION("IMPORTRANGE(""https://docs.google.com/spreadsheets/d/1-uDff_7J0KD5mKrp0Vvzr7lt3OU09vwQwhkpOPPYv2Y/edit?usp=sharing"",""งบพรบ!AJ87"")"),193675.63)</f>
        <v>193675.63</v>
      </c>
      <c r="O64" s="47">
        <f ca="1">IF(L64&gt;0,N64*100/L64,0)</f>
        <v>60.732402006898717</v>
      </c>
      <c r="P64" s="47">
        <f ca="1">IF(M64&gt;0,N64*100/M64,0)</f>
        <v>60.732402006898717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6000</v>
      </c>
      <c r="O94" s="132">
        <f ca="1">IF(L94&gt;0,N94*100/L94,0)</f>
        <v>100</v>
      </c>
      <c r="P94" s="132">
        <f ca="1">IF(M94&gt;0,N94*100/M94,0)</f>
        <v>100</v>
      </c>
      <c r="Q94" s="132">
        <f ca="1">Q95+Q96</f>
        <v>84420</v>
      </c>
      <c r="R94" s="132">
        <f ca="1">R95+R96</f>
        <v>84420</v>
      </c>
      <c r="S94" s="132">
        <f ca="1">S95+S96</f>
        <v>35650</v>
      </c>
      <c r="T94" s="132">
        <f ca="1">IF(Q94&gt;0,S94*100/Q94,0)</f>
        <v>42.229329542762379</v>
      </c>
      <c r="U94" s="132">
        <f ca="1">IF(R94&gt;0,S94*100/R94,0)</f>
        <v>42.229329542762379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6000</v>
      </c>
      <c r="O96" s="47">
        <f ca="1">IF(L96&gt;0,N96*100/L96,0)</f>
        <v>100</v>
      </c>
      <c r="P96" s="47">
        <f ca="1">IF(M96&gt;0,N96*100/M96,0)</f>
        <v>100</v>
      </c>
      <c r="Q96" s="47">
        <f ca="1">Q99+Q102</f>
        <v>84420</v>
      </c>
      <c r="R96" s="47">
        <f ca="1">R99+R102</f>
        <v>84420</v>
      </c>
      <c r="S96" s="47">
        <f ca="1">S99+S102</f>
        <v>35650</v>
      </c>
      <c r="T96" s="47">
        <f ca="1">IF(Q96&gt;0,S96*100/Q96,0)</f>
        <v>42.229329542762379</v>
      </c>
      <c r="U96" s="47">
        <f ca="1">IF(R96&gt;0,S96*100/R96,0)</f>
        <v>42.229329542762379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6000</v>
      </c>
      <c r="O97" s="47">
        <f ca="1">IF(L97&gt;0,N97*100/L97,0)</f>
        <v>100</v>
      </c>
      <c r="P97" s="47">
        <f ca="1">IF(M97&gt;0,N97*100/M97,0)</f>
        <v>100</v>
      </c>
      <c r="Q97" s="47">
        <f ca="1">Q98+Q99</f>
        <v>84420</v>
      </c>
      <c r="R97" s="47">
        <f ca="1">R98+R99</f>
        <v>84420</v>
      </c>
      <c r="S97" s="47">
        <f ca="1">S98+S99</f>
        <v>35650</v>
      </c>
      <c r="T97" s="47">
        <f ca="1">IF(Q97&gt;0,S97*100/Q97,0)</f>
        <v>42.229329542762379</v>
      </c>
      <c r="U97" s="47">
        <f ca="1">IF(R97&gt;0,S97*100/R97,0)</f>
        <v>42.229329542762379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IFERROR(__xludf.DUMMYFUNCTION("IMPORTRANGE(""https://docs.google.com/spreadsheets/d/1-uDff_7J0KD5mKrp0Vvzr7lt3OU09vwQwhkpOPPYv2Y/edit?usp=sharing"",""งบพรบ!AW87"")"),6000)</f>
        <v>6000</v>
      </c>
      <c r="M99" s="47">
        <f ca="1">IFERROR(__xludf.DUMMYFUNCTION("IMPORTRANGE(""https://docs.google.com/spreadsheets/d/1-uDff_7J0KD5mKrp0Vvzr7lt3OU09vwQwhkpOPPYv2Y/edit?usp=sharing"",""งบพรบ!BB87"")"),6000)</f>
        <v>6000</v>
      </c>
      <c r="N99" s="47">
        <f ca="1">IFERROR(__xludf.DUMMYFUNCTION("IMPORTRANGE(""https://docs.google.com/spreadsheets/d/1-uDff_7J0KD5mKrp0Vvzr7lt3OU09vwQwhkpOPPYv2Y/edit?usp=sharing"",""งบพรบ!BD87"")"),6000)</f>
        <v>6000</v>
      </c>
      <c r="O99" s="47">
        <f ca="1">IF(L99&gt;0,N99*100/L99,0)</f>
        <v>100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IFERROR(__xludf.DUMMYFUNCTION("IMPORTRANGE(""https://docs.google.com/spreadsheets/d/1ItG2mGa2ceCfYo0BwxsXqNm01IGEUdYcSSLTEv9YCik/edit?usp=sharing"",""เบิกจ่ายกองทุน!AK87"")"),84420)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IFERROR(__xludf.DUMMYFUNCTION("IMPORTRANGE(""https://docs.google.com/spreadsheets/d/1ItG2mGa2ceCfYo0BwxsXqNm01IGEUdYcSSLTEv9YCik/edit?usp=sharing"",""เบิกจ่ายกองทุน!AL87"")"),35650)</f>
        <v>35650</v>
      </c>
      <c r="T99" s="47">
        <f ca="1">IF(Q99&gt;0,S99*100/Q99,0)</f>
        <v>42.229329542762379</v>
      </c>
      <c r="U99" s="47">
        <f ca="1">IF(R99&gt;0,S99*100/R99,0)</f>
        <v>42.229329542762379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IFERROR(__xludf.DUMMYFUNCTION("IMPORTRANGE(""https://docs.google.com/spreadsheets/d/1eHaY18a8A9IcSdp1K8H6x8fbOy06t2VsZHhMHf-1x7Y/edit?usp=sharing"",""แผน!N87"")"),30)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IFERROR(__xludf.DUMMYFUNCTION("IMPORTRANGE(""https://docs.google.com/spreadsheets/d/1eHaY18a8A9IcSdp1K8H6x8fbOy06t2VsZHhMHf-1x7Y/edit?usp=sharing"",""แผน!O87"")"),10)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IFERROR(__xludf.DUMMYFUNCTION("IMPORTRANGE(""https://docs.google.com/spreadsheets/d/1eHaY18a8A9IcSdp1K8H6x8fbOy06t2VsZHhMHf-1x7Y/edit?usp=sharing"",""แผน!N87"")"),30)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IFERROR(__xludf.DUMMYFUNCTION("IMPORTRANGE(""https://docs.google.com/spreadsheets/d/1eHaY18a8A9IcSdp1K8H6x8fbOy06t2VsZHhMHf-1x7Y/edit?usp=sharing"",""แผน!O87"")"),10)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100926</v>
      </c>
      <c r="T117" s="132">
        <f ca="1">IF(Q117&gt;0,S117*100/Q117,0)</f>
        <v>58.117010249913626</v>
      </c>
      <c r="U117" s="132">
        <f ca="1">IF(R117&gt;0,S117*100/R117,0)</f>
        <v>58.117010249913626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100926</v>
      </c>
      <c r="T119" s="47">
        <f ca="1">IF(Q119&gt;0,S119*100/Q119,0)</f>
        <v>58.117010249913626</v>
      </c>
      <c r="U119" s="47">
        <f ca="1">IF(R119&gt;0,S119*100/R119,0)</f>
        <v>58.117010249913626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100926</v>
      </c>
      <c r="T120" s="47">
        <f ca="1">IF(Q120&gt;0,S120*100/Q120,0)</f>
        <v>58.117010249913626</v>
      </c>
      <c r="U120" s="47">
        <f ca="1">IF(R120&gt;0,S120*100/R120,0)</f>
        <v>58.117010249913626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IFERROR(__xludf.DUMMYFUNCTION("IMPORTRANGE(""https://docs.google.com/spreadsheets/d/1ItG2mGa2ceCfYo0BwxsXqNm01IGEUdYcSSLTEv9YCik/edit?usp=sharing"",""เบิกจ่ายกองทุน!V87"")"),173660)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IFERROR(__xludf.DUMMYFUNCTION("IMPORTRANGE(""https://docs.google.com/spreadsheets/d/1ItG2mGa2ceCfYo0BwxsXqNm01IGEUdYcSSLTEv9YCik/edit?usp=sharing"",""เบิกจ่ายกองทุน!W87"")"),100926)</f>
        <v>100926</v>
      </c>
      <c r="T122" s="47">
        <f ca="1">IF(Q122&gt;0,S122*100/Q122,0)</f>
        <v>58.117010249913626</v>
      </c>
      <c r="U122" s="47">
        <f ca="1">IF(R122&gt;0,S122*100/R122,0)</f>
        <v>58.117010249913626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IFERROR(__xludf.DUMMYFUNCTION("IMPORTRANGE(""https://docs.google.com/spreadsheets/d/1eHaY18a8A9IcSdp1K8H6x8fbOy06t2VsZHhMHf-1x7Y/edit?usp=sharing"",""แผน!FF87"")"),10)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IFERROR(__xludf.DUMMYFUNCTION("IMPORTRANGE(""https://docs.google.com/spreadsheets/d/1eHaY18a8A9IcSdp1K8H6x8fbOy06t2VsZHhMHf-1x7Y/edit?usp=sharing"",""แผน!FG87"")"),1)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IFERROR(__xludf.DUMMYFUNCTION("IMPORTRANGE(""https://docs.google.com/spreadsheets/d/1eHaY18a8A9IcSdp1K8H6x8fbOy06t2VsZHhMHf-1x7Y/edit?usp=sharing"",""แผน!FH87"")"),10)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IFERROR(__xludf.DUMMYFUNCTION("IMPORTRANGE(""https://docs.google.com/spreadsheets/d/1eHaY18a8A9IcSdp1K8H6x8fbOy06t2VsZHhMHf-1x7Y/edit?usp=sharing"",""แผน!FI87"")"),1)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IFERROR(__xludf.DUMMYFUNCTION("IMPORTRANGE(""https://docs.google.com/spreadsheets/d/1eHaY18a8A9IcSdp1K8H6x8fbOy06t2VsZHhMHf-1x7Y/edit?usp=sharing"",""แผน!U87"")"),0)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IFERROR(__xludf.DUMMYFUNCTION("IMPORTRANGE(""https://docs.google.com/spreadsheets/d/1eHaY18a8A9IcSdp1K8H6x8fbOy06t2VsZHhMHf-1x7Y/edit?usp=sharing"",""แผน!V87"")"),0)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IFERROR(__xludf.DUMMYFUNCTION("IMPORTRANGE(""https://docs.google.com/spreadsheets/d/1eHaY18a8A9IcSdp1K8H6x8fbOy06t2VsZHhMHf-1x7Y/edit?usp=sharing"",""แผน!W87"")"),0)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IFERROR(__xludf.DUMMYFUNCTION("IMPORTRANGE(""https://docs.google.com/spreadsheets/d/1eHaY18a8A9IcSdp1K8H6x8fbOy06t2VsZHhMHf-1x7Y/edit?usp=sharing"",""แผน!X87"")"),0)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IFERROR(__xludf.DUMMYFUNCTION("IMPORTRANGE(""https://docs.google.com/spreadsheets/d/1eHaY18a8A9IcSdp1K8H6x8fbOy06t2VsZHhMHf-1x7Y/edit?usp=sharing"",""แผน!Y87"")"),0)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IFERROR(__xludf.DUMMYFUNCTION("IMPORTRANGE(""https://docs.google.com/spreadsheets/d/1-uDff_7J0KD5mKrp0Vvzr7lt3OU09vwQwhkpOPPYv2Y/edit?usp=sharing"",""งบพรบ!CF87"")"),0)</f>
        <v>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IFERROR(__xludf.DUMMYFUNCTION("IMPORTRANGE(""https://docs.google.com/spreadsheets/d/1eHaY18a8A9IcSdp1K8H6x8fbOy06t2VsZHhMHf-1x7Y/edit?usp=sharing"",""แผน!Z87"")"),0)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IFERROR(__xludf.DUMMYFUNCTION("IMPORTRANGE(""https://docs.google.com/spreadsheets/d/1eHaY18a8A9IcSdp1K8H6x8fbOy06t2VsZHhMHf-1x7Y/edit?usp=sharing"",""แผน!Z87"")"),0)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40300</v>
      </c>
      <c r="N173" s="132">
        <f ca="1">N174+N175</f>
        <v>40300</v>
      </c>
      <c r="O173" s="132">
        <f ca="1">IF(L173&gt;0,N173*100/L173,0)</f>
        <v>205.71720265441553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40300</v>
      </c>
      <c r="N175" s="47">
        <f ca="1">N178+N181</f>
        <v>40300</v>
      </c>
      <c r="O175" s="47">
        <f ca="1">IF(L175&gt;0,N175*100/L175,0)</f>
        <v>205.71720265441553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40300</v>
      </c>
      <c r="N176" s="47">
        <f ca="1">N177+N178</f>
        <v>40300</v>
      </c>
      <c r="O176" s="47">
        <f ca="1">IF(L176&gt;0,N176*100/L176,0)</f>
        <v>205.71720265441553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ca="1">IF(L178&gt;0,N178*100/L178,0)</f>
        <v>205.71720265441553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400000</v>
      </c>
      <c r="M186" s="132">
        <f ca="1">M187+M188</f>
        <v>411700</v>
      </c>
      <c r="N186" s="132">
        <f ca="1">N187+N188</f>
        <v>277610.28999999998</v>
      </c>
      <c r="O186" s="132">
        <f ca="1">IF(L186&gt;0,N186*100/L186,0)</f>
        <v>69.402572499999991</v>
      </c>
      <c r="P186" s="132">
        <f ca="1">IF(M186&gt;0,N186*100/M186,0)</f>
        <v>67.430238037405871</v>
      </c>
      <c r="Q186" s="132">
        <f ca="1">Q187+Q188</f>
        <v>28000</v>
      </c>
      <c r="R186" s="132">
        <f ca="1">R187+R188</f>
        <v>28000</v>
      </c>
      <c r="S186" s="132">
        <f ca="1">S187+S188</f>
        <v>20000</v>
      </c>
      <c r="T186" s="132">
        <f ca="1">IF(Q186&gt;0,S186*100/Q186,0)</f>
        <v>71.428571428571431</v>
      </c>
      <c r="U186" s="132">
        <f ca="1">IF(R186&gt;0,S186*100/R186,0)</f>
        <v>71.428571428571431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400000</v>
      </c>
      <c r="M188" s="47">
        <f ca="1">M191+M194</f>
        <v>411700</v>
      </c>
      <c r="N188" s="47">
        <f ca="1">N191+N194</f>
        <v>277610.28999999998</v>
      </c>
      <c r="O188" s="47">
        <f ca="1">IF(L188&gt;0,N188*100/L188,0)</f>
        <v>69.402572499999991</v>
      </c>
      <c r="P188" s="47">
        <f ca="1">IF(M188&gt;0,N188*100/M188,0)</f>
        <v>67.430238037405871</v>
      </c>
      <c r="Q188" s="47">
        <f ca="1">Q191+Q194</f>
        <v>28000</v>
      </c>
      <c r="R188" s="47">
        <f ca="1">R191+R194</f>
        <v>28000</v>
      </c>
      <c r="S188" s="47">
        <f ca="1">S191+S194</f>
        <v>20000</v>
      </c>
      <c r="T188" s="47">
        <f ca="1">IF(Q188&gt;0,S188*100/Q188,0)</f>
        <v>71.428571428571431</v>
      </c>
      <c r="U188" s="47">
        <f ca="1">IF(R188&gt;0,S188*100/R188,0)</f>
        <v>71.428571428571431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400000</v>
      </c>
      <c r="M189" s="47">
        <f ca="1">M190+M191</f>
        <v>411700</v>
      </c>
      <c r="N189" s="47">
        <f ca="1">N190+N191</f>
        <v>277610.28999999998</v>
      </c>
      <c r="O189" s="47">
        <f ca="1">IF(L189&gt;0,N189*100/L189,0)</f>
        <v>69.402572499999991</v>
      </c>
      <c r="P189" s="47">
        <f ca="1">IF(M189&gt;0,N189*100/M189,0)</f>
        <v>67.430238037405871</v>
      </c>
      <c r="Q189" s="47">
        <f ca="1">Q190+Q191</f>
        <v>28000</v>
      </c>
      <c r="R189" s="47">
        <f ca="1">R190+R191</f>
        <v>28000</v>
      </c>
      <c r="S189" s="47">
        <f ca="1">S190+S191</f>
        <v>20000</v>
      </c>
      <c r="T189" s="47">
        <f ca="1">IF(Q189&gt;0,S189*100/Q189,0)</f>
        <v>71.428571428571431</v>
      </c>
      <c r="U189" s="47">
        <f ca="1">IF(R189&gt;0,S189*100/R189,0)</f>
        <v>71.428571428571431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IFERROR(__xludf.DUMMYFUNCTION("IMPORTRANGE(""https://docs.google.com/spreadsheets/d/1-uDff_7J0KD5mKrp0Vvzr7lt3OU09vwQwhkpOPPYv2Y/edit?usp=sharing"",""งบพรบ!CU87"")"),400000)</f>
        <v>400000</v>
      </c>
      <c r="M191" s="47">
        <f ca="1">IFERROR(__xludf.DUMMYFUNCTION("IMPORTRANGE(""https://docs.google.com/spreadsheets/d/1-uDff_7J0KD5mKrp0Vvzr7lt3OU09vwQwhkpOPPYv2Y/edit?usp=sharing"",""งบพรบ!CZ87"")"),411700)</f>
        <v>411700</v>
      </c>
      <c r="N191" s="47">
        <f ca="1">IFERROR(__xludf.DUMMYFUNCTION("IMPORTRANGE(""https://docs.google.com/spreadsheets/d/1-uDff_7J0KD5mKrp0Vvzr7lt3OU09vwQwhkpOPPYv2Y/edit?usp=sharing"",""งบพรบ!DB87"")"),277610.29)</f>
        <v>277610.28999999998</v>
      </c>
      <c r="O191" s="47">
        <f ca="1">IF(L191&gt;0,N191*100/L191,0)</f>
        <v>69.402572499999991</v>
      </c>
      <c r="P191" s="47">
        <f ca="1">IF(M191&gt;0,N191*100/M191,0)</f>
        <v>67.430238037405871</v>
      </c>
      <c r="Q191" s="47">
        <f ca="1">IFERROR(__xludf.DUMMYFUNCTION("IMPORTRANGE(""https://docs.google.com/spreadsheets/d/1ItG2mGa2ceCfYo0BwxsXqNm01IGEUdYcSSLTEv9YCik/edit?usp=sharing"",""เบิกจ่ายกองทุน!BQ87"")"),28000)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IFERROR(__xludf.DUMMYFUNCTION("IMPORTRANGE(""https://docs.google.com/spreadsheets/d/1ItG2mGa2ceCfYo0BwxsXqNm01IGEUdYcSSLTEv9YCik/edit?usp=sharing"",""เบิกจ่ายกองทุน!BR87"")"),28000)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IFERROR(__xludf.DUMMYFUNCTION("IMPORTRANGE(""https://docs.google.com/spreadsheets/d/1ItG2mGa2ceCfYo0BwxsXqNm01IGEUdYcSSLTEv9YCik/edit?usp=sharing"",""เบิกจ่ายกองทุน!BS87"")"),20000)</f>
        <v>20000</v>
      </c>
      <c r="T191" s="47">
        <f ca="1">IF(Q191&gt;0,S191*100/Q191,0)</f>
        <v>71.428571428571431</v>
      </c>
      <c r="U191" s="47">
        <f ca="1">IF(R191&gt;0,S191*100/R191,0)</f>
        <v>71.428571428571431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IFERROR(__xludf.DUMMYFUNCTION("IMPORTRANGE(""https://docs.google.com/spreadsheets/d/1eHaY18a8A9IcSdp1K8H6x8fbOy06t2VsZHhMHf-1x7Y/edit?usp=sharing"",""แผน!AE87"")"),4)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52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52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10000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20000</v>
      </c>
      <c r="T203" s="767">
        <f ca="1">IF(Q203&gt;0,S203*100/Q203,0)</f>
        <v>71.428571428571431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IFERROR(__xludf.DUMMYFUNCTION("IMPORTRANGE(""https://docs.google.com/spreadsheets/d/1eHaY18a8A9IcSdp1K8H6x8fbOy06t2VsZHhMHf-1x7Y/edit?usp=sharing"",""แผน!AG87"")"),2000)</f>
        <v>2000</v>
      </c>
      <c r="M204" s="46"/>
      <c r="N204" s="743">
        <v>2000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IFERROR(__xludf.DUMMYFUNCTION("IMPORTRANGE(""https://docs.google.com/spreadsheets/d/1eHaY18a8A9IcSdp1K8H6x8fbOy06t2VsZHhMHf-1x7Y/edit?usp=sharing"",""แผน!AH87"")"),0)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21" customHeight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IFERROR(__xludf.DUMMYFUNCTION("IMPORTRANGE(""https://docs.google.com/spreadsheets/d/1eHaY18a8A9IcSdp1K8H6x8fbOy06t2VsZHhMHf-1x7Y/edit?usp=sharing"",""แผน!AI87"")"),0)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743">
        <v>20000</v>
      </c>
      <c r="T206" s="136"/>
      <c r="U206" s="46"/>
    </row>
    <row r="207" spans="1:21" ht="18.75" x14ac:dyDescent="0.25">
      <c r="A207" s="387"/>
      <c r="B207" s="342"/>
      <c r="C207" s="388"/>
      <c r="D207" s="48" t="s">
        <v>89</v>
      </c>
      <c r="E207" s="388"/>
      <c r="F207" s="388"/>
      <c r="G207" s="390"/>
      <c r="H207" s="395" t="s">
        <v>14</v>
      </c>
      <c r="I207" s="906"/>
      <c r="J207" s="906"/>
      <c r="K207" s="177"/>
      <c r="L207" s="548">
        <f ca="1">IFERROR(__xludf.DUMMYFUNCTION("IMPORTRANGE(""https://docs.google.com/spreadsheets/d/1eHaY18a8A9IcSdp1K8H6x8fbOy06t2VsZHhMHf-1x7Y/edit?usp=sharing"",""แผน!AJ87"")"),8000)</f>
        <v>8000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IFERROR(__xludf.DUMMYFUNCTION("IMPORTRANGE(""https://docs.google.com/spreadsheets/d/1eHaY18a8A9IcSdp1K8H6x8fbOy06t2VsZHhMHf-1x7Y/edit?usp=sharing"",""แผน!AK87"")"),2)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IFERROR(__xludf.DUMMYFUNCTION("IMPORTRANGE(""https://docs.google.com/spreadsheets/d/1eHaY18a8A9IcSdp1K8H6x8fbOy06t2VsZHhMHf-1x7Y/edit?usp=sharing"",""แผน!JX87"")"),1)</f>
        <v>1</v>
      </c>
      <c r="J211" s="167">
        <v>2</v>
      </c>
      <c r="K211" s="153">
        <f ca="1">IF(I211&gt;0,J211*100/I211,0)</f>
        <v>200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IFERROR(__xludf.DUMMYFUNCTION("IMPORTRANGE(""https://docs.google.com/spreadsheets/d/1eHaY18a8A9IcSdp1K8H6x8fbOy06t2VsZHhMHf-1x7Y/edit?usp=sharing"",""แผน!AM87"")"),0)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IFERROR(__xludf.DUMMYFUNCTION("IMPORTRANGE(""https://docs.google.com/spreadsheets/d/1eHaY18a8A9IcSdp1K8H6x8fbOy06t2VsZHhMHf-1x7Y/edit?usp=sharing"",""แผน!AN87"")"),0)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IFERROR(__xludf.DUMMYFUNCTION("IMPORTRANGE(""https://docs.google.com/spreadsheets/d/1eHaY18a8A9IcSdp1K8H6x8fbOy06t2VsZHhMHf-1x7Y/edit?usp=sharing"",""แผน!AO87"")"),0)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IFERROR(__xludf.DUMMYFUNCTION("IMPORTRANGE(""https://docs.google.com/spreadsheets/d/1eHaY18a8A9IcSdp1K8H6x8fbOy06t2VsZHhMHf-1x7Y/edit?usp=sharing"",""แผน!LY87"")"),0)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6400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2000</v>
      </c>
      <c r="O222" s="132">
        <f ca="1">IF(L222&gt;0,N222*100/L222,0)</f>
        <v>44.444444444444443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IFERROR(__xludf.DUMMYFUNCTION("IMPORTRANGE(""https://docs.google.com/spreadsheets/d/1eHaY18a8A9IcSdp1K8H6x8fbOy06t2VsZHhMHf-1x7Y/edit?usp=sharing"",""แผน!AR87"")"),2500)</f>
        <v>2500</v>
      </c>
      <c r="M223" s="46"/>
      <c r="N223" s="743">
        <v>2000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IFERROR(__xludf.DUMMYFUNCTION("IMPORTRANGE(""https://docs.google.com/spreadsheets/d/1eHaY18a8A9IcSdp1K8H6x8fbOy06t2VsZHhMHf-1x7Y/edit?usp=sharing"",""แผน!AS87"")"),2000)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IFERROR(__xludf.DUMMYFUNCTION("IMPORTRANGE(""https://docs.google.com/spreadsheets/d/1eHaY18a8A9IcSdp1K8H6x8fbOy06t2VsZHhMHf-1x7Y/edit?usp=sharing"",""แผน!AT87"")"),0)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IFERROR(__xludf.DUMMYFUNCTION("IMPORTRANGE(""https://docs.google.com/spreadsheets/d/1eHaY18a8A9IcSdp1K8H6x8fbOy06t2VsZHhMHf-1x7Y/edit?usp=sharing"",""แผน!AV87"")"),6400)</f>
        <v>6400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1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IFERROR(__xludf.DUMMYFUNCTION("IMPORTRANGE(""https://docs.google.com/spreadsheets/d/1eHaY18a8A9IcSdp1K8H6x8fbOy06t2VsZHhMHf-1x7Y/edit?usp=sharing"",""แผน!AX87"")"),0)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IFERROR(__xludf.DUMMYFUNCTION("IMPORTRANGE(""https://docs.google.com/spreadsheets/d/1eHaY18a8A9IcSdp1K8H6x8fbOy06t2VsZHhMHf-1x7Y/edit?usp=sharing"",""แผน!AY87"")"),0)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IFERROR(__xludf.DUMMYFUNCTION("IMPORTRANGE(""https://docs.google.com/spreadsheets/d/1eHaY18a8A9IcSdp1K8H6x8fbOy06t2VsZHhMHf-1x7Y/edit?usp=sharing"",""แผน!AZ87"")"),0)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IFERROR(__xludf.DUMMYFUNCTION("IMPORTRANGE(""https://docs.google.com/spreadsheets/d/1eHaY18a8A9IcSdp1K8H6x8fbOy06t2VsZHhMHf-1x7Y/edit?usp=sharing"",""แผน!BA87"")"),0)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IFERROR(__xludf.DUMMYFUNCTION("IMPORTRANGE(""https://docs.google.com/spreadsheets/d/1eHaY18a8A9IcSdp1K8H6x8fbOy06t2VsZHhMHf-1x7Y/edit?usp=sharing"",""แผน!BG87"")"),0)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IFERROR(__xludf.DUMMYFUNCTION("IMPORTRANGE(""https://docs.google.com/spreadsheets/d/1eHaY18a8A9IcSdp1K8H6x8fbOy06t2VsZHhMHf-1x7Y/edit?usp=sharing"",""แผน!BB87"")"),0)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IFERROR(__xludf.DUMMYFUNCTION("IMPORTRANGE(""https://docs.google.com/spreadsheets/d/1eHaY18a8A9IcSdp1K8H6x8fbOy06t2VsZHhMHf-1x7Y/edit?usp=sharing"",""แผน!BC87"")"),0)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IFERROR(__xludf.DUMMYFUNCTION("IMPORTRANGE(""https://docs.google.com/spreadsheets/d/1eHaY18a8A9IcSdp1K8H6x8fbOy06t2VsZHhMHf-1x7Y/edit?usp=sharing"",""แผน!BD87"")"),0)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IFERROR(__xludf.DUMMYFUNCTION("IMPORTRANGE(""https://docs.google.com/spreadsheets/d/1eHaY18a8A9IcSdp1K8H6x8fbOy06t2VsZHhMHf-1x7Y/edit?usp=sharing"",""แผน!BE87"")"),0)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IFERROR(__xludf.DUMMYFUNCTION("IMPORTRANGE(""https://docs.google.com/spreadsheets/d/1eHaY18a8A9IcSdp1K8H6x8fbOy06t2VsZHhMHf-1x7Y/edit?usp=sharing"",""แผน!BH87"")"),0)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50660</v>
      </c>
      <c r="T266" s="421">
        <f ca="1">IF(Q266&gt;0,S266*100/Q266,0)</f>
        <v>100</v>
      </c>
      <c r="U266" s="421">
        <f ca="1">IF(R266&gt;0,S266*100/R266,0)</f>
        <v>100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50660</v>
      </c>
      <c r="T268" s="331">
        <f ca="1">IF(Q268&gt;0,S268*100/Q268,0)</f>
        <v>100</v>
      </c>
      <c r="U268" s="331">
        <f ca="1">IF(R268&gt;0,S268*100/R268,0)</f>
        <v>100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50660</v>
      </c>
      <c r="T269" s="331">
        <f ca="1">IF(Q269&gt;0,S269*100/Q269,0)</f>
        <v>100</v>
      </c>
      <c r="U269" s="331">
        <f ca="1">IF(R269&gt;0,S269*100/R269,0)</f>
        <v>100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IFERROR(__xludf.DUMMYFUNCTION("IMPORTRANGE(""https://docs.google.com/spreadsheets/d/1-uDff_7J0KD5mKrp0Vvzr7lt3OU09vwQwhkpOPPYv2Y/edit?usp=sharing"",""งบพรบ!DE87"")"),5000)</f>
        <v>5000</v>
      </c>
      <c r="M271" s="331">
        <f ca="1">IFERROR(__xludf.DUMMYFUNCTION("IMPORTRANGE(""https://docs.google.com/spreadsheets/d/1-uDff_7J0KD5mKrp0Vvzr7lt3OU09vwQwhkpOPPYv2Y/edit?usp=sharing"",""งบพรบ!DJ87"")"),5000)</f>
        <v>5000</v>
      </c>
      <c r="N271" s="331">
        <f ca="1">IFERROR(__xludf.DUMMYFUNCTION("IMPORTRANGE(""https://docs.google.com/spreadsheets/d/1-uDff_7J0KD5mKrp0Vvzr7lt3OU09vwQwhkpOPPYv2Y/edit?usp=sharing"",""งบพรบ!DL87"")"),5000)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IFERROR(__xludf.DUMMYFUNCTION("IMPORTRANGE(""https://docs.google.com/spreadsheets/d/1ItG2mGa2ceCfYo0BwxsXqNm01IGEUdYcSSLTEv9YCik/edit?usp=sharing"",""เบิกจ่ายกองทุน!AR87"")"),50660)</f>
        <v>50660</v>
      </c>
      <c r="T271" s="331">
        <f ca="1">IF(Q271&gt;0,S271*100/Q271,0)</f>
        <v>100</v>
      </c>
      <c r="U271" s="331">
        <f ca="1">IF(R271&gt;0,S271*100/R271,0)</f>
        <v>100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IFERROR(__xludf.DUMMYFUNCTION("IMPORTRANGE(""https://docs.google.com/spreadsheets/d/1-uDff_7J0KD5mKrp0Vvzr7lt3OU09vwQwhkpOPPYv2Y/edit?usp=sharing"",""งบพรบ!DH87"")"),0)</f>
        <v>0</v>
      </c>
      <c r="M274" s="331">
        <f ca="1">IFERROR(__xludf.DUMMYFUNCTION("IMPORTRANGE(""https://docs.google.com/spreadsheets/d/1-uDff_7J0KD5mKrp0Vvzr7lt3OU09vwQwhkpOPPYv2Y/edit?usp=sharing"",""งบพรบ!DK87"")"),0)</f>
        <v>0</v>
      </c>
      <c r="N274" s="331">
        <f ca="1">IFERROR(__xludf.DUMMYFUNCTION("IMPORTRANGE(""https://docs.google.com/spreadsheets/d/1-uDff_7J0KD5mKrp0Vvzr7lt3OU09vwQwhkpOPPYv2Y/edit?usp=sharing"",""งบพรบ!DM87"")"),0)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432"/>
      <c r="B291" s="433"/>
      <c r="C291" s="905" t="s">
        <v>18</v>
      </c>
      <c r="D291" s="618" t="s">
        <v>38</v>
      </c>
      <c r="E291" s="435"/>
      <c r="F291" s="435"/>
      <c r="G291" s="436"/>
      <c r="H291" s="439"/>
      <c r="I291" s="428"/>
      <c r="J291" s="428"/>
      <c r="K291" s="429"/>
      <c r="L291" s="720"/>
      <c r="M291" s="429"/>
      <c r="N291" s="429"/>
      <c r="O291" s="429"/>
      <c r="P291" s="429"/>
      <c r="Q291" s="429"/>
      <c r="R291" s="429"/>
      <c r="S291" s="429"/>
      <c r="T291" s="429"/>
      <c r="U291" s="429"/>
    </row>
    <row r="292" spans="1:21" ht="18.75" hidden="1" x14ac:dyDescent="0.25">
      <c r="A292" s="432"/>
      <c r="B292" s="433"/>
      <c r="C292" s="433"/>
      <c r="D292" s="555" t="s">
        <v>120</v>
      </c>
      <c r="E292" s="433"/>
      <c r="F292" s="422"/>
      <c r="G292" s="439"/>
      <c r="H292" s="904" t="s">
        <v>46</v>
      </c>
      <c r="I292" s="330">
        <f ca="1">IFERROR(__xludf.DUMMYFUNCTION("IMPORTRANGE(""https://docs.google.com/spreadsheets/d/1eHaY18a8A9IcSdp1K8H6x8fbOy06t2VsZHhMHf-1x7Y/edit?usp=sharing"",""แผน!EE87"")"),0)</f>
        <v>0</v>
      </c>
      <c r="J292" s="554">
        <v>0</v>
      </c>
      <c r="K292" s="898">
        <f ca="1">IF(I292&gt;0,J292*100/I292,0)</f>
        <v>0</v>
      </c>
      <c r="L292" s="720"/>
      <c r="M292" s="429"/>
      <c r="N292" s="429"/>
      <c r="O292" s="429"/>
      <c r="P292" s="429"/>
      <c r="Q292" s="429"/>
      <c r="R292" s="429"/>
      <c r="S292" s="429"/>
      <c r="T292" s="429"/>
      <c r="U292" s="429"/>
    </row>
    <row r="293" spans="1:21" ht="19.5" hidden="1" x14ac:dyDescent="0.3">
      <c r="A293" s="432"/>
      <c r="B293" s="433"/>
      <c r="C293" s="433"/>
      <c r="D293" s="555" t="s">
        <v>121</v>
      </c>
      <c r="E293" s="433"/>
      <c r="F293" s="422"/>
      <c r="G293" s="439"/>
      <c r="H293" s="903" t="s">
        <v>35</v>
      </c>
      <c r="I293" s="902">
        <f ca="1">IFERROR(__xludf.DUMMYFUNCTION("IMPORTRANGE(""https://docs.google.com/spreadsheets/d/1eHaY18a8A9IcSdp1K8H6x8fbOy06t2VsZHhMHf-1x7Y/edit?usp=sharing"",""แผน!ED87"")"),0)</f>
        <v>0</v>
      </c>
      <c r="J293" s="902">
        <f>J296</f>
        <v>0</v>
      </c>
      <c r="K293" s="901">
        <f ca="1">IF(I293&gt;0,J293*100/I293,0)</f>
        <v>0</v>
      </c>
      <c r="L293" s="720"/>
      <c r="M293" s="429"/>
      <c r="N293" s="429"/>
      <c r="O293" s="429"/>
      <c r="P293" s="429"/>
      <c r="Q293" s="429"/>
      <c r="R293" s="429"/>
      <c r="S293" s="429"/>
      <c r="T293" s="429"/>
      <c r="U293" s="429"/>
    </row>
    <row r="294" spans="1:21" ht="19.5" hidden="1" x14ac:dyDescent="0.3">
      <c r="A294" s="432"/>
      <c r="B294" s="433"/>
      <c r="C294" s="433"/>
      <c r="D294" s="422"/>
      <c r="E294" s="900" t="s">
        <v>331</v>
      </c>
      <c r="F294" s="422"/>
      <c r="G294" s="439"/>
      <c r="H294" s="439"/>
      <c r="I294" s="428"/>
      <c r="J294" s="420"/>
      <c r="K294" s="429"/>
      <c r="L294" s="720"/>
      <c r="M294" s="429"/>
      <c r="N294" s="429"/>
      <c r="O294" s="429"/>
      <c r="P294" s="429"/>
      <c r="Q294" s="429"/>
      <c r="R294" s="429"/>
      <c r="S294" s="429"/>
      <c r="T294" s="429"/>
      <c r="U294" s="429"/>
    </row>
    <row r="295" spans="1:21" ht="19.5" hidden="1" x14ac:dyDescent="0.3">
      <c r="A295" s="432"/>
      <c r="B295" s="433"/>
      <c r="C295" s="433"/>
      <c r="D295" s="422"/>
      <c r="E295" s="555" t="s">
        <v>330</v>
      </c>
      <c r="F295" s="422"/>
      <c r="G295" s="439"/>
      <c r="H295" s="863" t="s">
        <v>35</v>
      </c>
      <c r="I295" s="899">
        <f ca="1">IFERROR(__xludf.DUMMYFUNCTION("IMPORTRANGE(""https://docs.google.com/spreadsheets/d/1eHaY18a8A9IcSdp1K8H6x8fbOy06t2VsZHhMHf-1x7Y/edit?usp=sharing"",""แผน!ED87"")"),0)</f>
        <v>0</v>
      </c>
      <c r="J295" s="554">
        <v>0</v>
      </c>
      <c r="K295" s="898">
        <f ca="1">IF(I295&gt;0,J295*100/I295,0)</f>
        <v>0</v>
      </c>
      <c r="L295" s="720"/>
      <c r="M295" s="429"/>
      <c r="N295" s="429"/>
      <c r="O295" s="429"/>
      <c r="P295" s="429"/>
      <c r="Q295" s="429"/>
      <c r="R295" s="429"/>
      <c r="S295" s="429"/>
      <c r="T295" s="429"/>
      <c r="U295" s="429"/>
    </row>
    <row r="296" spans="1:21" ht="19.5" hidden="1" x14ac:dyDescent="0.3">
      <c r="A296" s="432"/>
      <c r="B296" s="433"/>
      <c r="C296" s="433"/>
      <c r="D296" s="422"/>
      <c r="E296" s="555" t="s">
        <v>329</v>
      </c>
      <c r="F296" s="422"/>
      <c r="G296" s="439"/>
      <c r="H296" s="863" t="s">
        <v>35</v>
      </c>
      <c r="I296" s="899">
        <f ca="1">IFERROR(__xludf.DUMMYFUNCTION("IMPORTRANGE(""https://docs.google.com/spreadsheets/d/1eHaY18a8A9IcSdp1K8H6x8fbOy06t2VsZHhMHf-1x7Y/edit?usp=sharing"",""แผน!ED87"")"),0)</f>
        <v>0</v>
      </c>
      <c r="J296" s="554">
        <v>0</v>
      </c>
      <c r="K296" s="898">
        <f ca="1">IF(I296&gt;0,J296*100/I296,0)</f>
        <v>0</v>
      </c>
      <c r="L296" s="720"/>
      <c r="M296" s="429"/>
      <c r="N296" s="429"/>
      <c r="O296" s="429"/>
      <c r="P296" s="429"/>
      <c r="Q296" s="429"/>
      <c r="R296" s="429"/>
      <c r="S296" s="429"/>
      <c r="T296" s="429"/>
      <c r="U296" s="429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60170</v>
      </c>
      <c r="T303" s="132">
        <f ca="1">IF(Q303&gt;0,S303*100/Q303,0)</f>
        <v>26.596330121941765</v>
      </c>
      <c r="U303" s="132">
        <f ca="1">IF(R303&gt;0,S303*100/R303,0)</f>
        <v>26.596355985395654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60170</v>
      </c>
      <c r="T305" s="47">
        <f ca="1">IF(Q305&gt;0,S305*100/Q305,0)</f>
        <v>26.596330121941765</v>
      </c>
      <c r="U305" s="47">
        <f ca="1">IF(R305&gt;0,S305*100/R305,0)</f>
        <v>26.596355985395654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60170</v>
      </c>
      <c r="T306" s="47">
        <f ca="1">IF(Q306&gt;0,S306*100/Q306,0)</f>
        <v>26.596330121941765</v>
      </c>
      <c r="U306" s="47">
        <f ca="1">IF(R306&gt;0,S306*100/R306,0)</f>
        <v>26.596355985395654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IFERROR(__xludf.DUMMYFUNCTION("IMPORTRANGE(""https://docs.google.com/spreadsheets/d/1ItG2mGa2ceCfYo0BwxsXqNm01IGEUdYcSSLTEv9YCik/edit?usp=sharing"",""เบิกจ่ายกองทุน!BC87"")"),226234)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IFERROR(__xludf.DUMMYFUNCTION("IMPORTRANGE(""https://docs.google.com/spreadsheets/d/1ItG2mGa2ceCfYo0BwxsXqNm01IGEUdYcSSLTEv9YCik/edit?usp=sharing"",""เบิกจ่ายกองทุน!BD87"")"),60170)</f>
        <v>60170</v>
      </c>
      <c r="T308" s="47">
        <f ca="1">IF(Q308&gt;0,S308*100/Q308,0)</f>
        <v>26.596330121941765</v>
      </c>
      <c r="U308" s="47">
        <f ca="1">IF(R308&gt;0,S308*100/R308,0)</f>
        <v>26.596355985395654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140</v>
      </c>
      <c r="J332" s="697">
        <f ca="1">J344+J347+J348+J349+J353</f>
        <v>444</v>
      </c>
      <c r="K332" s="696">
        <f ca="1">IF(I332&gt;0,J332*100/I332,0)</f>
        <v>317.14285714285717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232601</v>
      </c>
      <c r="O333" s="132">
        <f ca="1">IF(L333&gt;0,N333*100/L333,0)</f>
        <v>65.190863228699556</v>
      </c>
      <c r="P333" s="132">
        <f ca="1">IF(M333&gt;0,N333*100/M333,0)</f>
        <v>65.190863228699556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232601</v>
      </c>
      <c r="O335" s="47">
        <f ca="1">IF(L335&gt;0,N335*100/L335,0)</f>
        <v>65.190863228699556</v>
      </c>
      <c r="P335" s="47">
        <f ca="1">IF(M335&gt;0,N335*100/M335,0)</f>
        <v>65.190863228699556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232601</v>
      </c>
      <c r="O336" s="47">
        <f ca="1">IF(L336&gt;0,N336*100/L336,0)</f>
        <v>65.190863228699556</v>
      </c>
      <c r="P336" s="47">
        <f ca="1">IF(M336&gt;0,N336*100/M336,0)</f>
        <v>65.190863228699556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IFERROR(__xludf.DUMMYFUNCTION("IMPORTRANGE(""https://docs.google.com/spreadsheets/d/1-uDff_7J0KD5mKrp0Vvzr7lt3OU09vwQwhkpOPPYv2Y/edit?usp=sharing"",""งบพรบ!ES87"")"),356800)</f>
        <v>356800</v>
      </c>
      <c r="M338" s="47">
        <f ca="1">IFERROR(__xludf.DUMMYFUNCTION("IMPORTRANGE(""https://docs.google.com/spreadsheets/d/1-uDff_7J0KD5mKrp0Vvzr7lt3OU09vwQwhkpOPPYv2Y/edit?usp=sharing"",""งบพรบ!EX87"")"),356800)</f>
        <v>356800</v>
      </c>
      <c r="N338" s="47">
        <f ca="1">IFERROR(__xludf.DUMMYFUNCTION("IMPORTRANGE(""https://docs.google.com/spreadsheets/d/1-uDff_7J0KD5mKrp0Vvzr7lt3OU09vwQwhkpOPPYv2Y/edit?usp=sharing"",""งบพรบ!EZ87"")"),232601)</f>
        <v>232601</v>
      </c>
      <c r="O338" s="47">
        <f ca="1">IF(L338&gt;0,N338*100/L338,0)</f>
        <v>65.190863228699556</v>
      </c>
      <c r="P338" s="47">
        <f ca="1">IF(M338&gt;0,N338*100/M338,0)</f>
        <v>65.190863228699556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183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IFERROR(__xludf.DUMMYFUNCTION("IMPORTRANGE(""https://docs.google.com/spreadsheets/d/1eHaY18a8A9IcSdp1K8H6x8fbOy06t2VsZHhMHf-1x7Y/edit?usp=sharing"",""แผน!EK87"")"),140)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IFERROR(__xludf.DUMMYFUNCTION("IMPORTRANGE(""https://docs.google.com/spreadsheets/d/1awYsYK3VOup2i3Pq_Yjnu8DRu_mYwSBnCR2QPthd0rU/edit?usp=sharing"",""ศูนย์ยกเว้นโฉนด!D87"")"),76)</f>
        <v>76</v>
      </c>
      <c r="K344" s="47">
        <f ca="1">IF(I344&gt;0,J344*100/I344,0)</f>
        <v>54.285714285714285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IFERROR(__xludf.DUMMYFUNCTION("IMPORTRANGE(""https://docs.google.com/spreadsheets/d/1eHaY18a8A9IcSdp1K8H6x8fbOy06t2VsZHhMHf-1x7Y/edit?usp=sharing"",""แผน!EL87"")"),1)</f>
        <v>1</v>
      </c>
      <c r="J346" s="152">
        <f ca="1">IFERROR(__xludf.DUMMYFUNCTION("IMPORTRANGE(""https://docs.google.com/spreadsheets/d/1awYsYK3VOup2i3Pq_Yjnu8DRu_mYwSBnCR2QPthd0rU/edit?usp=sharing"",""ศูนย์รวม!E87"")"),3)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308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IFERROR(__xludf.DUMMYFUNCTION("IMPORTRANGE(""https://docs.google.com/spreadsheets/d/1awYsYK3VOup2i3Pq_Yjnu8DRu_mYwSBnCR2QPthd0rU/edit?usp=sharing"",""โฉนดM3!G87"")"),47)</f>
        <v>47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IFERROR(__xludf.DUMMYFUNCTION("IMPORTRANGE(""https://docs.google.com/spreadsheets/d/1awYsYK3VOup2i3Pq_Yjnu8DRu_mYwSBnCR2QPthd0rU/edit?usp=sharing"",""โฉนดM3!H87"")"),261)</f>
        <v>261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229590</v>
      </c>
      <c r="M356" s="132">
        <f ca="1">M357+M358</f>
        <v>272590</v>
      </c>
      <c r="N356" s="132">
        <f ca="1">N357+N358</f>
        <v>157019.01999999999</v>
      </c>
      <c r="O356" s="132">
        <f ca="1">IF(L356&gt;0,N356*100/L356,0)</f>
        <v>68.391053617317823</v>
      </c>
      <c r="P356" s="132">
        <f ca="1">IF(M356&gt;0,N356*100/M356,0)</f>
        <v>57.602633992442854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229590</v>
      </c>
      <c r="M358" s="47">
        <f ca="1">M361+M364</f>
        <v>272590</v>
      </c>
      <c r="N358" s="47">
        <f ca="1">N361+N364</f>
        <v>157019.01999999999</v>
      </c>
      <c r="O358" s="47">
        <f ca="1">IF(L358&gt;0,N358*100/L358,0)</f>
        <v>68.391053617317823</v>
      </c>
      <c r="P358" s="47">
        <f ca="1">IF(M358&gt;0,N358*100/M358,0)</f>
        <v>57.602633992442854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229590</v>
      </c>
      <c r="M359" s="47">
        <f ca="1">M360+M361</f>
        <v>272590</v>
      </c>
      <c r="N359" s="47">
        <f ca="1">N360+N361</f>
        <v>157019.01999999999</v>
      </c>
      <c r="O359" s="47">
        <f ca="1">IF(L359&gt;0,N359*100/L359,0)</f>
        <v>68.391053617317823</v>
      </c>
      <c r="P359" s="47">
        <f ca="1">IF(M359&gt;0,N359*100/M359,0)</f>
        <v>57.602633992442854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IFERROR(__xludf.DUMMYFUNCTION("IMPORTRANGE(""https://docs.google.com/spreadsheets/d/1-uDff_7J0KD5mKrp0Vvzr7lt3OU09vwQwhkpOPPYv2Y/edit?usp=sharing"",""งบพรบ!FC87"")"),229590)</f>
        <v>229590</v>
      </c>
      <c r="M361" s="47">
        <f ca="1">IFERROR(__xludf.DUMMYFUNCTION("IMPORTRANGE(""https://docs.google.com/spreadsheets/d/1-uDff_7J0KD5mKrp0Vvzr7lt3OU09vwQwhkpOPPYv2Y/edit?usp=sharing"",""งบพรบ!FH87"")"),272590)</f>
        <v>272590</v>
      </c>
      <c r="N361" s="47">
        <f ca="1">IFERROR(__xludf.DUMMYFUNCTION("IMPORTRANGE(""https://docs.google.com/spreadsheets/d/1-uDff_7J0KD5mKrp0Vvzr7lt3OU09vwQwhkpOPPYv2Y/edit?usp=sharing"",""งบพรบ!FJ87"")"),157019.02)</f>
        <v>157019.01999999999</v>
      </c>
      <c r="O361" s="47">
        <f ca="1">IF(L361&gt;0,N361*100/L361,0)</f>
        <v>68.391053617317823</v>
      </c>
      <c r="P361" s="47">
        <f ca="1">IF(M361&gt;0,N361*100/M361,0)</f>
        <v>57.602633992442854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77</v>
      </c>
      <c r="J365" s="228">
        <f ca="1">J371</f>
        <v>76</v>
      </c>
      <c r="K365" s="229">
        <f ca="1">IF(I365&gt;0,J365*100/I365,0)</f>
        <v>98.701298701298697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IFERROR(__xludf.DUMMYFUNCTION("IMPORTRANGE(""https://docs.google.com/spreadsheets/d/1tdoBKaGub7dwA3U6UFTqxio9LNnvDCQjHKmttSEBsFQ/edit?usp=sharing"",""จัดที่ดิน!AB87"")"),24)</f>
        <v>24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IFERROR(__xludf.DUMMYFUNCTION("IMPORTRANGE(""https://docs.google.com/spreadsheets/d/1eHaY18a8A9IcSdp1K8H6x8fbOy06t2VsZHhMHf-1x7Y/edit?usp=sharing"",""แผน!EW87"")"),230)</f>
        <v>230</v>
      </c>
      <c r="J368" s="685">
        <f ca="1">IFERROR(__xludf.DUMMYFUNCTION("IMPORTRANGE(""https://docs.google.com/spreadsheets/d/1tdoBKaGub7dwA3U6UFTqxio9LNnvDCQjHKmttSEBsFQ/edit?usp=sharing"",""จัดที่ดิน!AC87"")"),208.85)</f>
        <v>208.85</v>
      </c>
      <c r="K368" s="47">
        <f ca="1">IF(I368&gt;0,J368*100/I368,0)</f>
        <v>90.804347826086953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IFERROR(__xludf.DUMMYFUNCTION("IMPORTRANGE(""https://docs.google.com/spreadsheets/d/1eHaY18a8A9IcSdp1K8H6x8fbOy06t2VsZHhMHf-1x7Y/edit?usp=sharing"",""แผน!EX87"")"),77)</f>
        <v>77</v>
      </c>
      <c r="J369" s="152">
        <f ca="1">IFERROR(__xludf.DUMMYFUNCTION("IMPORTRANGE(""https://docs.google.com/spreadsheets/d/1tdoBKaGub7dwA3U6UFTqxio9LNnvDCQjHKmttSEBsFQ/edit?usp=sharing"",""จัดที่ดิน!AD87"")"),77)</f>
        <v>77</v>
      </c>
      <c r="K369" s="47">
        <f ca="1">IF(I369&gt;0,J369*100/I369,0)</f>
        <v>100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IFERROR(__xludf.DUMMYFUNCTION("IMPORTRANGE(""https://docs.google.com/spreadsheets/d/1tdoBKaGub7dwA3U6UFTqxio9LNnvDCQjHKmttSEBsFQ/edit?usp=sharing"",""จัดที่ดิน!AE87"")"),595.54)</f>
        <v>595.54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IFERROR(__xludf.DUMMYFUNCTION("IMPORTRANGE(""https://docs.google.com/spreadsheets/d/1eHaY18a8A9IcSdp1K8H6x8fbOy06t2VsZHhMHf-1x7Y/edit?usp=sharing"",""แผน!EY87"")"),77)</f>
        <v>77</v>
      </c>
      <c r="J371" s="152">
        <f ca="1">IFERROR(__xludf.DUMMYFUNCTION("IMPORTRANGE(""https://docs.google.com/spreadsheets/d/1tdoBKaGub7dwA3U6UFTqxio9LNnvDCQjHKmttSEBsFQ/edit?usp=sharing"",""จัดที่ดิน!AF87"")"),76)</f>
        <v>76</v>
      </c>
      <c r="K371" s="47">
        <f ca="1">IF(I371&gt;0,J371*100/I371,0)</f>
        <v>98.701298701298697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IFERROR(__xludf.DUMMYFUNCTION("IMPORTRANGE(""https://docs.google.com/spreadsheets/d/1tdoBKaGub7dwA3U6UFTqxio9LNnvDCQjHKmttSEBsFQ/edit?usp=sharing"",""จัดที่ดิน!AG87"")"),574.56)</f>
        <v>574.55999999999995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150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9375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9375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9375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IFERROR(__xludf.DUMMYFUNCTION("IMPORTRANGE(""https://docs.google.com/spreadsheets/d/1-uDff_7J0KD5mKrp0Vvzr7lt3OU09vwQwhkpOPPYv2Y/edit?usp=sharing"",""งบพรบ!IE87"")"),0)</f>
        <v>0</v>
      </c>
      <c r="M380" s="47">
        <f ca="1">IFERROR(__xludf.DUMMYFUNCTION("IMPORTRANGE(""https://docs.google.com/spreadsheets/d/1-uDff_7J0KD5mKrp0Vvzr7lt3OU09vwQwhkpOPPYv2Y/edit?usp=sharing"",""งบพรบ!IJ87"")"),0)</f>
        <v>0</v>
      </c>
      <c r="N380" s="47">
        <f ca="1">IFERROR(__xludf.DUMMYFUNCTION("IMPORTRANGE(""https://docs.google.com/spreadsheets/d/1-uDff_7J0KD5mKrp0Vvzr7lt3OU09vwQwhkpOPPYv2Y/edit?usp=sharing"",""งบพรบ!IL87"")"),0)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IFERROR(__xludf.DUMMYFUNCTION("IMPORTRANGE(""https://docs.google.com/spreadsheets/d/1-uDff_7J0KD5mKrp0Vvzr7lt3OU09vwQwhkpOPPYv2Y/edit?usp=sharing"",""งบพรบ!IH87"")"),0)</f>
        <v>0</v>
      </c>
      <c r="M383" s="47">
        <f ca="1">IFERROR(__xludf.DUMMYFUNCTION("IMPORTRANGE(""https://docs.google.com/spreadsheets/d/1-uDff_7J0KD5mKrp0Vvzr7lt3OU09vwQwhkpOPPYv2Y/edit?usp=sharing"",""งบพรบ!IK87"")"),0)</f>
        <v>0</v>
      </c>
      <c r="N383" s="47">
        <f ca="1">IFERROR(__xludf.DUMMYFUNCTION("IMPORTRANGE(""https://docs.google.com/spreadsheets/d/1-uDff_7J0KD5mKrp0Vvzr7lt3OU09vwQwhkpOPPYv2Y/edit?usp=sharing"",""งบพรบ!IM87"")"),0)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IFERROR(__xludf.DUMMYFUNCTION("IMPORTRANGE(""https://docs.google.com/spreadsheets/d/1w5rwWK1o49a35cNtocGL0gxDwhFSTZUQu90BiH9_zqM/edit?usp=sharing"",""RTK!H87"")"),0)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IFERROR(__xludf.DUMMYFUNCTION("IMPORTRANGE(""https://docs.google.com/spreadsheets/d/1w5rwWK1o49a35cNtocGL0gxDwhFSTZUQu90BiH9_zqM/edit?usp=sharing"",""RTK!G87"")"),150)</f>
        <v>150</v>
      </c>
      <c r="J386" s="152">
        <f ca="1">IFERROR(__xludf.DUMMYFUNCTION("IMPORTRANGE(""https://docs.google.com/spreadsheets/d/1w5rwWK1o49a35cNtocGL0gxDwhFSTZUQu90BiH9_zqM/edit?usp=sharing"",""RTK!I87"")"),0)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IFERROR(__xludf.DUMMYFUNCTION("IMPORTRANGE(""https://docs.google.com/spreadsheets/d/1w5rwWK1o49a35cNtocGL0gxDwhFSTZUQu90BiH9_zqM/edit?usp=sharing"",""RTK!K87"")"),0)</f>
        <v>0</v>
      </c>
      <c r="J388" s="330">
        <f ca="1">IFERROR(__xludf.DUMMYFUNCTION("IMPORTRANGE(""https://docs.google.com/spreadsheets/d/1w5rwWK1o49a35cNtocGL0gxDwhFSTZUQu90BiH9_zqM/edit?usp=sharing"",""RTK!M87"")"),0)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17560</v>
      </c>
      <c r="M413" s="132">
        <f ca="1">M414+M415</f>
        <v>17560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17560</v>
      </c>
      <c r="M415" s="47">
        <f ca="1">M418+M421</f>
        <v>17560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17560</v>
      </c>
      <c r="M416" s="47">
        <f ca="1">M417+M418</f>
        <v>17560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IFERROR(__xludf.DUMMYFUNCTION("IMPORTRANGE(""https://docs.google.com/spreadsheets/d/1-uDff_7J0KD5mKrp0Vvzr7lt3OU09vwQwhkpOPPYv2Y/edit?usp=sharing"",""งบพรบ!IO87"")"),17560)</f>
        <v>17560</v>
      </c>
      <c r="M418" s="47">
        <f ca="1">IFERROR(__xludf.DUMMYFUNCTION("IMPORTRANGE(""https://docs.google.com/spreadsheets/d/1-uDff_7J0KD5mKrp0Vvzr7lt3OU09vwQwhkpOPPYv2Y/edit?usp=sharing"",""งบพรบ!IT87"")"),17560)</f>
        <v>17560</v>
      </c>
      <c r="N418" s="47">
        <f ca="1">IFERROR(__xludf.DUMMYFUNCTION("IMPORTRANGE(""https://docs.google.com/spreadsheets/d/1-uDff_7J0KD5mKrp0Vvzr7lt3OU09vwQwhkpOPPYv2Y/edit?usp=sharing"",""งบพรบ!IV87"")"),0)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IFERROR(__xludf.DUMMYFUNCTION("IMPORTRANGE(""https://docs.google.com/spreadsheets/d/1ItG2mGa2ceCfYo0BwxsXqNm01IGEUdYcSSLTEv9YCik/edit?usp=sharing"",""เบิกจ่ายกองทุน!BZ87"")"),15150)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IFERROR(__xludf.DUMMYFUNCTION("IMPORTRANGE(""https://docs.google.com/spreadsheets/d/1ItG2mGa2ceCfYo0BwxsXqNm01IGEUdYcSSLTEv9YCik/edit?usp=sharing"",""เบิกจ่ายกองทุน!CA87"")"),15150)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IFERROR(__xludf.DUMMYFUNCTION("IMPORTRANGE(""https://docs.google.com/spreadsheets/d/1-uDff_7J0KD5mKrp0Vvzr7lt3OU09vwQwhkpOPPYv2Y/edit?usp=sharing"",""งบพรบ!IR87"")"),0)</f>
        <v>0</v>
      </c>
      <c r="M421" s="47">
        <f ca="1">IFERROR(__xludf.DUMMYFUNCTION("IMPORTRANGE(""https://docs.google.com/spreadsheets/d/1-uDff_7J0KD5mKrp0Vvzr7lt3OU09vwQwhkpOPPYv2Y/edit?usp=sharing"",""งบพรบ!IU87"")"),0)</f>
        <v>0</v>
      </c>
      <c r="N421" s="47">
        <f ca="1">IFERROR(__xludf.DUMMYFUNCTION("IMPORTRANGE(""https://docs.google.com/spreadsheets/d/1-uDff_7J0KD5mKrp0Vvzr7lt3OU09vwQwhkpOPPYv2Y/edit?usp=sharing"",""งบพรบ!IW87"")"),0)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IFERROR(__xludf.DUMMYFUNCTION("IMPORTRANGE(""https://docs.google.com/spreadsheets/d/1eHaY18a8A9IcSdp1K8H6x8fbOy06t2VsZHhMHf-1x7Y/edit?usp=sharing"",""แผน!HJ87"")"),0)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IFERROR(__xludf.DUMMYFUNCTION("IMPORTRANGE(""https://docs.google.com/spreadsheets/d/1eHaY18a8A9IcSdp1K8H6x8fbOy06t2VsZHhMHf-1x7Y/edit?usp=sharing"",""แผน!HK87"")"),0)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IFERROR(__xludf.DUMMYFUNCTION("IMPORTRANGE(""https://docs.google.com/spreadsheets/d/1eHaY18a8A9IcSdp1K8H6x8fbOy06t2VsZHhMHf-1x7Y/edit?usp=sharing"",""แผน!HJ87"")"),0)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IFERROR(__xludf.DUMMYFUNCTION("IMPORTRANGE(""https://docs.google.com/spreadsheets/d/1eHaY18a8A9IcSdp1K8H6x8fbOy06t2VsZHhMHf-1x7Y/edit?usp=sharing"",""แผน!HK87"")"),0)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IFERROR(__xludf.DUMMYFUNCTION("IMPORTRANGE(""https://docs.google.com/spreadsheets/d/1eHaY18a8A9IcSdp1K8H6x8fbOy06t2VsZHhMHf-1x7Y/edit?usp=sharing"",""แผน!HJ87"")"),0)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IFERROR(__xludf.DUMMYFUNCTION("IMPORTRANGE(""https://docs.google.com/spreadsheets/d/1eHaY18a8A9IcSdp1K8H6x8fbOy06t2VsZHhMHf-1x7Y/edit?usp=sharing"",""แผน!HK87"")"),0)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6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IFERROR(__xludf.DUMMYFUNCTION("IMPORTRANGE(""https://docs.google.com/spreadsheets/d/1eHaY18a8A9IcSdp1K8H6x8fbOy06t2VsZHhMHf-1x7Y/edit?usp=sharing"",""แผน!HL87"")"),6)</f>
        <v>6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IFERROR(__xludf.DUMMYFUNCTION("IMPORTRANGE(""https://docs.google.com/spreadsheets/d/1eHaY18a8A9IcSdp1K8H6x8fbOy06t2VsZHhMHf-1x7Y/edit?usp=sharing"",""แผน!HM87"")"),0)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IFERROR(__xludf.DUMMYFUNCTION("IMPORTRANGE(""https://docs.google.com/spreadsheets/d/1-uDff_7J0KD5mKrp0Vvzr7lt3OU09vwQwhkpOPPYv2Y/edit?usp=sharing"",""งบพรบ!HU87"")"),0)</f>
        <v>0</v>
      </c>
      <c r="M498" s="47">
        <f ca="1">IFERROR(__xludf.DUMMYFUNCTION("IMPORTRANGE(""https://docs.google.com/spreadsheets/d/1-uDff_7J0KD5mKrp0Vvzr7lt3OU09vwQwhkpOPPYv2Y/edit?usp=sharing"",""งบพรบ!HZ87"")"),0)</f>
        <v>0</v>
      </c>
      <c r="N498" s="47">
        <f ca="1">IFERROR(__xludf.DUMMYFUNCTION("IMPORTRANGE(""https://docs.google.com/spreadsheets/d/1-uDff_7J0KD5mKrp0Vvzr7lt3OU09vwQwhkpOPPYv2Y/edit?usp=sharing"",""งบพรบ!IB87"")"),0)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IFERROR(__xludf.DUMMYFUNCTION("IMPORTRANGE(""https://docs.google.com/spreadsheets/d/1-uDff_7J0KD5mKrp0Vvzr7lt3OU09vwQwhkpOPPYv2Y/edit?usp=sharing"",""งบพรบ!HX87"")"),0)</f>
        <v>0</v>
      </c>
      <c r="M501" s="47">
        <f ca="1">IFERROR(__xludf.DUMMYFUNCTION("IMPORTRANGE(""https://docs.google.com/spreadsheets/d/1-uDff_7J0KD5mKrp0Vvzr7lt3OU09vwQwhkpOPPYv2Y/edit?usp=sharing"",""งบพรบ!IA87"")"),0)</f>
        <v>0</v>
      </c>
      <c r="N501" s="47">
        <f ca="1">IFERROR(__xludf.DUMMYFUNCTION("IMPORTRANGE(""https://docs.google.com/spreadsheets/d/1-uDff_7J0KD5mKrp0Vvzr7lt3OU09vwQwhkpOPPYv2Y/edit?usp=sharing"",""งบพรบ!IC87"")"),0)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IFERROR(__xludf.DUMMYFUNCTION("IMPORTRANGE(""https://docs.google.com/spreadsheets/d/1-uDff_7J0KD5mKrp0Vvzr7lt3OU09vwQwhkpOPPYv2Y/edit?usp=sharing"",""งบพรบ!FW87"")"),0)</f>
        <v>0</v>
      </c>
      <c r="M539" s="47">
        <f ca="1">IFERROR(__xludf.DUMMYFUNCTION("IMPORTRANGE(""https://docs.google.com/spreadsheets/d/1-uDff_7J0KD5mKrp0Vvzr7lt3OU09vwQwhkpOPPYv2Y/edit?usp=sharing"",""งบพรบ!GB87"")"),0)</f>
        <v>0</v>
      </c>
      <c r="N539" s="47">
        <f ca="1">IFERROR(__xludf.DUMMYFUNCTION("IMPORTRANGE(""https://docs.google.com/spreadsheets/d/1-uDff_7J0KD5mKrp0Vvzr7lt3OU09vwQwhkpOPPYv2Y/edit?usp=sharing"",""งบพรบ!GD87"")"),0)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IFERROR(__xludf.DUMMYFUNCTION("IMPORTRANGE(""https://docs.google.com/spreadsheets/d/1-uDff_7J0KD5mKrp0Vvzr7lt3OU09vwQwhkpOPPYv2Y/edit?usp=sharing"",""งบพรบ!FZ87"")"),0)</f>
        <v>0</v>
      </c>
      <c r="M542" s="47">
        <f ca="1">IFERROR(__xludf.DUMMYFUNCTION("IMPORTRANGE(""https://docs.google.com/spreadsheets/d/1-uDff_7J0KD5mKrp0Vvzr7lt3OU09vwQwhkpOPPYv2Y/edit?usp=sharing"",""งบพรบ!GC87"")"),0)</f>
        <v>0</v>
      </c>
      <c r="N542" s="47">
        <f ca="1">IFERROR(__xludf.DUMMYFUNCTION("IMPORTRANGE(""https://docs.google.com/spreadsheets/d/1-uDff_7J0KD5mKrp0Vvzr7lt3OU09vwQwhkpOPPYv2Y/edit?usp=sharing"",""งบพรบ!GE87"")"),0)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IFERROR(__xludf.DUMMYFUNCTION("IMPORTRANGE(""https://docs.google.com/spreadsheets/d/1-uDff_7J0KD5mKrp0Vvzr7lt3OU09vwQwhkpOPPYv2Y/edit?usp=sharing"",""งบพรบ!GG87"")"),0)</f>
        <v>0</v>
      </c>
      <c r="M560" s="47">
        <f ca="1">IFERROR(__xludf.DUMMYFUNCTION("IMPORTRANGE(""https://docs.google.com/spreadsheets/d/1-uDff_7J0KD5mKrp0Vvzr7lt3OU09vwQwhkpOPPYv2Y/edit?usp=sharing"",""งบพรบ!GL87"")"),0)</f>
        <v>0</v>
      </c>
      <c r="N560" s="47">
        <f ca="1">IFERROR(__xludf.DUMMYFUNCTION("IMPORTRANGE(""https://docs.google.com/spreadsheets/d/1-uDff_7J0KD5mKrp0Vvzr7lt3OU09vwQwhkpOPPYv2Y/edit?usp=sharing"",""งบพรบ!GN87"")"),0)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IFERROR(__xludf.DUMMYFUNCTION("IMPORTRANGE(""https://docs.google.com/spreadsheets/d/1-uDff_7J0KD5mKrp0Vvzr7lt3OU09vwQwhkpOPPYv2Y/edit?usp=sharing"",""งบพรบ!GJ87"")"),0)</f>
        <v>0</v>
      </c>
      <c r="M563" s="47">
        <f ca="1">IFERROR(__xludf.DUMMYFUNCTION("IMPORTRANGE(""https://docs.google.com/spreadsheets/d/1-uDff_7J0KD5mKrp0Vvzr7lt3OU09vwQwhkpOPPYv2Y/edit?usp=sharing"",""งบพรบ!GM87"")"),0)</f>
        <v>0</v>
      </c>
      <c r="N563" s="47">
        <f ca="1">IFERROR(__xludf.DUMMYFUNCTION("IMPORTRANGE(""https://docs.google.com/spreadsheets/d/1-uDff_7J0KD5mKrp0Vvzr7lt3OU09vwQwhkpOPPYv2Y/edit?usp=sharing"",""งบพรบ!GO87"")"),0)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IFERROR(__xludf.DUMMYFUNCTION("IMPORTRANGE(""https://docs.google.com/spreadsheets/d/1-uDff_7J0KD5mKrp0Vvzr7lt3OU09vwQwhkpOPPYv2Y/edit?usp=sharing"",""งบพรบ!GQ87"")"),0)</f>
        <v>0</v>
      </c>
      <c r="M581" s="47">
        <f ca="1">IFERROR(__xludf.DUMMYFUNCTION("IMPORTRANGE(""https://docs.google.com/spreadsheets/d/1-uDff_7J0KD5mKrp0Vvzr7lt3OU09vwQwhkpOPPYv2Y/edit?usp=sharing"",""งบพรบ!GV87"")"),0)</f>
        <v>0</v>
      </c>
      <c r="N581" s="47">
        <f ca="1">IFERROR(__xludf.DUMMYFUNCTION("IMPORTRANGE(""https://docs.google.com/spreadsheets/d/1-uDff_7J0KD5mKrp0Vvzr7lt3OU09vwQwhkpOPPYv2Y/edit?usp=sharing"",""งบพรบ!GX87"")"),0)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IFERROR(__xludf.DUMMYFUNCTION("IMPORTRANGE(""https://docs.google.com/spreadsheets/d/1-uDff_7J0KD5mKrp0Vvzr7lt3OU09vwQwhkpOPPYv2Y/edit?usp=sharing"",""งบพรบ!GT87"")"),0)</f>
        <v>0</v>
      </c>
      <c r="M584" s="47">
        <f ca="1">IFERROR(__xludf.DUMMYFUNCTION("IMPORTRANGE(""https://docs.google.com/spreadsheets/d/1-uDff_7J0KD5mKrp0Vvzr7lt3OU09vwQwhkpOPPYv2Y/edit?usp=sharing"",""งบพรบ!GW87"")"),0)</f>
        <v>0</v>
      </c>
      <c r="N584" s="47">
        <f ca="1">IFERROR(__xludf.DUMMYFUNCTION("IMPORTRANGE(""https://docs.google.com/spreadsheets/d/1-uDff_7J0KD5mKrp0Vvzr7lt3OU09vwQwhkpOPPYv2Y/edit?usp=sharing"",""งบพรบ!GY87"")"),0)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hidden="1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hidden="1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hidden="1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0</v>
      </c>
      <c r="M599" s="421">
        <f ca="1">M600+M601</f>
        <v>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0</v>
      </c>
      <c r="M601" s="331">
        <f ca="1">M604+M607</f>
        <v>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hidden="1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0</v>
      </c>
      <c r="M602" s="331">
        <f ca="1">M603+M604</f>
        <v>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IFERROR(__xludf.DUMMYFUNCTION("IMPORTRANGE(""https://docs.google.com/spreadsheets/d/1-uDff_7J0KD5mKrp0Vvzr7lt3OU09vwQwhkpOPPYv2Y/edit?usp=sharing"",""งบพรบ!HK87"")"),0)</f>
        <v>0</v>
      </c>
      <c r="M604" s="331">
        <f ca="1">IFERROR(__xludf.DUMMYFUNCTION("IMPORTRANGE(""https://docs.google.com/spreadsheets/d/1-uDff_7J0KD5mKrp0Vvzr7lt3OU09vwQwhkpOPPYv2Y/edit?usp=sharing"",""งบพรบ!HP87"")"),0)</f>
        <v>0</v>
      </c>
      <c r="N604" s="331">
        <f ca="1">IFERROR(__xludf.DUMMYFUNCTION("IMPORTRANGE(""https://docs.google.com/spreadsheets/d/1-uDff_7J0KD5mKrp0Vvzr7lt3OU09vwQwhkpOPPYv2Y/edit?usp=sharing"",""งบพรบ!HR87"")"),0)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IFERROR(__xludf.DUMMYFUNCTION("IMPORTRANGE(""https://docs.google.com/spreadsheets/d/1ItG2mGa2ceCfYo0BwxsXqNm01IGEUdYcSSLTEv9YCik/edit?usp=sharing"",""เบิกจ่ายกองทุน!AV87"")"),0)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IFERROR(__xludf.DUMMYFUNCTION("IMPORTRANGE(""https://docs.google.com/spreadsheets/d/1ItG2mGa2ceCfYo0BwxsXqNm01IGEUdYcSSLTEv9YCik/edit?usp=sharing"",""เบิกจ่ายกองทุน!AW87"")"),0)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IFERROR(__xludf.DUMMYFUNCTION("IMPORTRANGE(""https://docs.google.com/spreadsheets/d/1ItG2mGa2ceCfYo0BwxsXqNm01IGEUdYcSSLTEv9YCik/edit?usp=sharing"",""เบิกจ่ายกองทุน!AX87"")"),0)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hidden="1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IFERROR(__xludf.DUMMYFUNCTION("IMPORTRANGE(""https://docs.google.com/spreadsheets/d/1-uDff_7J0KD5mKrp0Vvzr7lt3OU09vwQwhkpOPPYv2Y/edit?usp=sharing"",""งบพรบ!HN87"")"),0)</f>
        <v>0</v>
      </c>
      <c r="M607" s="47">
        <f ca="1">IFERROR(__xludf.DUMMYFUNCTION("IMPORTRANGE(""https://docs.google.com/spreadsheets/d/1-uDff_7J0KD5mKrp0Vvzr7lt3OU09vwQwhkpOPPYv2Y/edit?usp=sharing"",""งบพรบ!HQ87"")"),0)</f>
        <v>0</v>
      </c>
      <c r="N607" s="47">
        <f ca="1">IFERROR(__xludf.DUMMYFUNCTION("IMPORTRANGE(""https://docs.google.com/spreadsheets/d/1-uDff_7J0KD5mKrp0Vvzr7lt3OU09vwQwhkpOPPYv2Y/edit?usp=sharing"",""งบพรบ!HS87"")"),0)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7275</v>
      </c>
      <c r="R616" s="132">
        <f ca="1">R617+R618</f>
        <v>7275</v>
      </c>
      <c r="S616" s="132">
        <f ca="1">S617+S618</f>
        <v>6040</v>
      </c>
      <c r="T616" s="132">
        <f ca="1">IF(Q616&gt;0,S616*100/Q616,0)</f>
        <v>83.024054982817873</v>
      </c>
      <c r="U616" s="132">
        <f ca="1">IF(R616&gt;0,S616*100/R616,0)</f>
        <v>83.024054982817873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7275</v>
      </c>
      <c r="R618" s="47">
        <f ca="1">R621+R624</f>
        <v>7275</v>
      </c>
      <c r="S618" s="47">
        <f ca="1">S621+S624</f>
        <v>6040</v>
      </c>
      <c r="T618" s="47">
        <f ca="1">IF(Q618&gt;0,S618*100/Q618,0)</f>
        <v>83.024054982817873</v>
      </c>
      <c r="U618" s="47">
        <f ca="1">IF(R618&gt;0,S618*100/R618,0)</f>
        <v>83.024054982817873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7275</v>
      </c>
      <c r="R619" s="47">
        <f ca="1">R620+R621</f>
        <v>7275</v>
      </c>
      <c r="S619" s="47">
        <f ca="1">S620+S621</f>
        <v>6040</v>
      </c>
      <c r="T619" s="47">
        <f ca="1">IF(Q619&gt;0,S619*100/Q619,0)</f>
        <v>83.024054982817873</v>
      </c>
      <c r="U619" s="47">
        <f ca="1">IF(R619&gt;0,S619*100/R619,0)</f>
        <v>83.024054982817873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IFERROR(__xludf.DUMMYFUNCTION("IMPORTRANGE(""https://docs.google.com/spreadsheets/d/1ItG2mGa2ceCfYo0BwxsXqNm01IGEUdYcSSLTEv9YCik/edit?usp=sharing"",""เบิกจ่ายกองทุน!H87"")"),6040)</f>
        <v>6040</v>
      </c>
      <c r="T621" s="47">
        <f ca="1">IF(Q621&gt;0,S621*100/Q621,0)</f>
        <v>83.024054982817873</v>
      </c>
      <c r="U621" s="47">
        <f ca="1">IF(R621&gt;0,S621*100/R621,0)</f>
        <v>83.024054982817873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IFERROR(__xludf.DUMMYFUNCTION("IMPORTRANGE(""https://docs.google.com/spreadsheets/d/1eHaY18a8A9IcSdp1K8H6x8fbOy06t2VsZHhMHf-1x7Y/edit?usp=sharing"",""แผน!IC87"")"),1)</f>
        <v>1</v>
      </c>
      <c r="J627" s="167">
        <v>7</v>
      </c>
      <c r="K627" s="47">
        <f ca="1">IF(I627&gt;0,(J627*100)/I627,0)</f>
        <v>700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7</v>
      </c>
      <c r="K628" s="47">
        <f ca="1">IF(I628&gt;0,(J628*100)/I628,0)</f>
        <v>700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IFERROR(__xludf.DUMMYFUNCTION("IMPORTRANGE(""https://docs.google.com/spreadsheets/d/1eHaY18a8A9IcSdp1K8H6x8fbOy06t2VsZHhMHf-1x7Y/edit?usp=sharing"",""แผน!IF87"")"),0)</f>
        <v>0</v>
      </c>
      <c r="J652" s="15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IFERROR(__xludf.DUMMYFUNCTION("IMPORTRANGE(""https://docs.google.com/spreadsheets/d/1eHaY18a8A9IcSdp1K8H6x8fbOy06t2VsZHhMHf-1x7Y/edit?usp=sharing"",""แผน!IG87"")"),0)</f>
        <v>0</v>
      </c>
      <c r="J653" s="15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IFERROR(__xludf.DUMMYFUNCTION("IMPORTRANGE(""https://docs.google.com/spreadsheets/d/1eHaY18a8A9IcSdp1K8H6x8fbOy06t2VsZHhMHf-1x7Y/edit?usp=sharing"",""แผน!IL87"")"),0)</f>
        <v>0</v>
      </c>
      <c r="J673" s="15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IFERROR(__xludf.DUMMYFUNCTION("IMPORTRANGE(""https://docs.google.com/spreadsheets/d/1eHaY18a8A9IcSdp1K8H6x8fbOy06t2VsZHhMHf-1x7Y/edit?usp=sharing"",""แผน!IO87"")"),0)</f>
        <v>0</v>
      </c>
      <c r="J676" s="15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IFERROR(__xludf.DUMMYFUNCTION("IMPORTRANGE(""https://docs.google.com/spreadsheets/d/1eHaY18a8A9IcSdp1K8H6x8fbOy06t2VsZHhMHf-1x7Y/edit?usp=sharing"",""แผน!IP87"")"),0)</f>
        <v>0</v>
      </c>
      <c r="J678" s="15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IFERROR(__xludf.DUMMYFUNCTION("IMPORTRANGE(""https://docs.google.com/spreadsheets/d/1eHaY18a8A9IcSdp1K8H6x8fbOy06t2VsZHhMHf-1x7Y/edit?usp=sharing"",""แผน!IQ87"")"),0)</f>
        <v>0</v>
      </c>
      <c r="J679" s="15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IFERROR(__xludf.DUMMYFUNCTION("IMPORTRANGE(""https://docs.google.com/spreadsheets/d/1eHaY18a8A9IcSdp1K8H6x8fbOy06t2VsZHhMHf-1x7Y/edit?usp=sharing"",""แผน!IR87"")"),0)</f>
        <v>0</v>
      </c>
      <c r="J681" s="15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62580</v>
      </c>
      <c r="R690" s="132">
        <f ca="1">R691+R692</f>
        <v>62580</v>
      </c>
      <c r="S690" s="132">
        <f ca="1">S691+S692</f>
        <v>21021.95</v>
      </c>
      <c r="T690" s="132">
        <f ca="1">IF(Q690&gt;0,S690*100/Q690,0)</f>
        <v>33.592122083732825</v>
      </c>
      <c r="U690" s="132">
        <f ca="1">IF(R690&gt;0,S690*100/R690,0)</f>
        <v>33.592122083732825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62580</v>
      </c>
      <c r="R692" s="47">
        <f ca="1">R695+R698</f>
        <v>62580</v>
      </c>
      <c r="S692" s="47">
        <f ca="1">S695+S698</f>
        <v>21021.95</v>
      </c>
      <c r="T692" s="47">
        <f ca="1">IF(Q692&gt;0,S692*100/Q692,0)</f>
        <v>33.592122083732825</v>
      </c>
      <c r="U692" s="47">
        <f ca="1">IF(R692&gt;0,S692*100/R692,0)</f>
        <v>33.592122083732825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62580</v>
      </c>
      <c r="R693" s="47">
        <f ca="1">R694+R695</f>
        <v>62580</v>
      </c>
      <c r="S693" s="47">
        <f ca="1">S694+S695</f>
        <v>21021.95</v>
      </c>
      <c r="T693" s="47">
        <f ca="1">IF(Q693&gt;0,S693*100/Q693,0)</f>
        <v>33.592122083732825</v>
      </c>
      <c r="U693" s="47">
        <f ca="1">IF(R693&gt;0,S693*100/R693,0)</f>
        <v>33.592122083732825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5" s="47">
        <f ca="1">IFERROR(__xludf.DUMMYFUNCTION("IMPORTRANGE(""https://docs.google.com/spreadsheets/d/1ItG2mGa2ceCfYo0BwxsXqNm01IGEUdYcSSLTEv9YCik/edit?usp=sharing"",""เบิกจ่ายกองทุน!N87"")"),21021.95)</f>
        <v>21021.95</v>
      </c>
      <c r="T695" s="47">
        <f ca="1">IF(Q695&gt;0,S695*100/Q695,0)</f>
        <v>33.592122083732825</v>
      </c>
      <c r="U695" s="47">
        <f ca="1">IF(R695&gt;0,S695*100/R695,0)</f>
        <v>33.592122083732825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IFERROR(__xludf.DUMMYFUNCTION("IMPORTRANGE(""https://docs.google.com/spreadsheets/d/1eHaY18a8A9IcSdp1K8H6x8fbOy06t2VsZHhMHf-1x7Y/edit?usp=sharing"",""แผน!LJ87"")"),0)</f>
        <v>0</v>
      </c>
      <c r="J703" s="15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IFERROR(__xludf.DUMMYFUNCTION("IMPORTRANGE(""https://docs.google.com/spreadsheets/d/1eHaY18a8A9IcSdp1K8H6x8fbOy06t2VsZHhMHf-1x7Y/edit?usp=sharing"",""แผน!LK87"")"),5)</f>
        <v>5</v>
      </c>
      <c r="J705" s="152">
        <f ca="1">IFERROR(__xludf.DUMMYFUNCTION("IMPORTRANGE(""https://docs.google.com/spreadsheets/d/1tdoBKaGub7dwA3U6UFTqxio9LNnvDCQjHKmttSEBsFQ/edit?usp=sharing"",""จัดที่ดิน!AR87"")"),0)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IFERROR(__xludf.DUMMYFUNCTION("IMPORTRANGE(""https://docs.google.com/spreadsheets/d/1eHaY18a8A9IcSdp1K8H6x8fbOy06t2VsZHhMHf-1x7Y/edit?usp=sharing"",""แผน!LJ87"")"),0)</f>
        <v>0</v>
      </c>
      <c r="J707" s="15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IFERROR(__xludf.DUMMYFUNCTION("IMPORTRANGE(""https://docs.google.com/spreadsheets/d/1eHaY18a8A9IcSdp1K8H6x8fbOy06t2VsZHhMHf-1x7Y/edit?usp=sharing"",""แผน!LK87"")"),5)</f>
        <v>5</v>
      </c>
      <c r="J709" s="152">
        <f ca="1">IFERROR(__xludf.DUMMYFUNCTION("IMPORTRANGE(""https://docs.google.com/spreadsheets/d/1tdoBKaGub7dwA3U6UFTqxio9LNnvDCQjHKmttSEBsFQ/edit?usp=sharing"",""จัดที่ดิน!BP87"")"),2)</f>
        <v>2</v>
      </c>
      <c r="K709" s="47">
        <f ca="1">IF(I709&gt;0,J709*100/I709,0)</f>
        <v>40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IFERROR(__xludf.DUMMYFUNCTION("IMPORTRANGE(""https://docs.google.com/spreadsheets/d/1eHaY18a8A9IcSdp1K8H6x8fbOy06t2VsZHhMHf-1x7Y/edit?usp=sharing"",""แผน!GA87"")"),6)</f>
        <v>6</v>
      </c>
      <c r="J726" s="483">
        <f>J742+J746+J749</f>
        <v>16</v>
      </c>
      <c r="K726" s="484">
        <f ca="1">IF(I726&gt;0,J726*100/I726,0)</f>
        <v>266.66666666666669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IFERROR(__xludf.DUMMYFUNCTION("IMPORTRANGE(""https://docs.google.com/spreadsheets/d/1eHaY18a8A9IcSdp1K8H6x8fbOy06t2VsZHhMHf-1x7Y/edit?usp=sharing"",""แผน!FZ87"")"),50)</f>
        <v>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43976.6</v>
      </c>
      <c r="T728" s="132">
        <f ca="1">IF(Q728&gt;0,S728*100/Q728,0)</f>
        <v>55.24282089289752</v>
      </c>
      <c r="U728" s="132">
        <f ca="1">IF(R728&gt;0,S728*100/R728,0)</f>
        <v>55.24282089289752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43976.6</v>
      </c>
      <c r="T730" s="47">
        <f ca="1">IF(Q730&gt;0,S730*100/Q730,0)</f>
        <v>55.24282089289752</v>
      </c>
      <c r="U730" s="47">
        <f ca="1">IF(R730&gt;0,S730*100/R730,0)</f>
        <v>55.24282089289752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43976.6</v>
      </c>
      <c r="T731" s="47">
        <f ca="1">IF(Q731&gt;0,S731*100/Q731,0)</f>
        <v>55.24282089289752</v>
      </c>
      <c r="U731" s="47">
        <f ca="1">IF(R731&gt;0,S731*100/R731,0)</f>
        <v>55.24282089289752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IFERROR(__xludf.DUMMYFUNCTION("IMPORTRANGE(""https://docs.google.com/spreadsheets/d/1ItG2mGa2ceCfYo0BwxsXqNm01IGEUdYcSSLTEv9YCik/edit?usp=sharing"",""เบิกจ่ายกองทุน!Q87"")"),43976.6)</f>
        <v>43976.6</v>
      </c>
      <c r="T733" s="47">
        <f ca="1">IF(Q733&gt;0,S733*100/Q733,0)</f>
        <v>55.24282089289752</v>
      </c>
      <c r="U733" s="47">
        <f ca="1">IF(R733&gt;0,S733*100/R733,0)</f>
        <v>55.24282089289752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IFERROR(__xludf.DUMMYFUNCTION("IMPORTRANGE(""https://docs.google.com/spreadsheets/d/1eHaY18a8A9IcSdp1K8H6x8fbOy06t2VsZHhMHf-1x7Y/edit?usp=sharing"",""แผน!GB87"")"),40)</f>
        <v>40</v>
      </c>
      <c r="J740" s="167">
        <v>40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0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IFERROR(__xludf.DUMMYFUNCTION("IMPORTRANGE(""https://docs.google.com/spreadsheets/d/1eHaY18a8A9IcSdp1K8H6x8fbOy06t2VsZHhMHf-1x7Y/edit?usp=sharing"",""แผน!GC87"")"),4)</f>
        <v>4</v>
      </c>
      <c r="J742" s="167">
        <v>5</v>
      </c>
      <c r="K742" s="47">
        <f ca="1">IF(I742&gt;0,J742*100/I742,0)</f>
        <v>125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IFERROR(__xludf.DUMMYFUNCTION("IMPORTRANGE(""https://docs.google.com/spreadsheets/d/1eHaY18a8A9IcSdp1K8H6x8fbOy06t2VsZHhMHf-1x7Y/edit?usp=sharing"",""แผน!GD87"")"),10)</f>
        <v>10</v>
      </c>
      <c r="J744" s="167">
        <v>10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0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IFERROR(__xludf.DUMMYFUNCTION("IMPORTRANGE(""https://docs.google.com/spreadsheets/d/1eHaY18a8A9IcSdp1K8H6x8fbOy06t2VsZHhMHf-1x7Y/edit?usp=sharing"",""แผน!GE87"")"),1)</f>
        <v>1</v>
      </c>
      <c r="J746" s="167">
        <v>2</v>
      </c>
      <c r="K746" s="47">
        <f ca="1">IF(I746&gt;0,J746*100/I746,0)</f>
        <v>200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0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IFERROR(__xludf.DUMMYFUNCTION("IMPORTRANGE(""https://docs.google.com/spreadsheets/d/1eHaY18a8A9IcSdp1K8H6x8fbOy06t2VsZHhMHf-1x7Y/edit?usp=sharing"",""แผน!GF87"")"),1)</f>
        <v>1</v>
      </c>
      <c r="J749" s="167">
        <v>9</v>
      </c>
      <c r="K749" s="47">
        <f ca="1">IF(I749&gt;0,J749*100/I749,0)</f>
        <v>900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IFERROR(__xludf.DUMMYFUNCTION("IMPORTRANGE(""https://docs.google.com/spreadsheets/d/1eHaY18a8A9IcSdp1K8H6x8fbOy06t2VsZHhMHf-1x7Y/edit?usp=sharing"",""แผน!GB87"")"),40)</f>
        <v>40</v>
      </c>
      <c r="J752" s="167">
        <v>0</v>
      </c>
      <c r="K752" s="47">
        <f ca="1">IF(I752&gt;0,J752*100/I752,0)</f>
        <v>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IFERROR(__xludf.DUMMYFUNCTION("IMPORTRANGE(""https://docs.google.com/spreadsheets/d/1eHaY18a8A9IcSdp1K8H6x8fbOy06t2VsZHhMHf-1x7Y/edit?usp=sharing"",""แผน!GD87"")"),10)</f>
        <v>10</v>
      </c>
      <c r="J755" s="167">
        <v>0</v>
      </c>
      <c r="K755" s="47">
        <f ca="1">IF(I755&gt;0,J755*100/I755,0)</f>
        <v>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IFERROR(__xludf.DUMMYFUNCTION("IMPORTRANGE(""https://docs.google.com/spreadsheets/d/1ItG2mGa2ceCfYo0BwxsXqNm01IGEUdYcSSLTEv9YCik/edit?usp=sharing"",""เบิกจ่ายกองทุน!AC87"")"),0)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IFERROR(__xludf.DUMMYFUNCTION("IMPORTRANGE(""https://docs.google.com/spreadsheets/d/1eHaY18a8A9IcSdp1K8H6x8fbOy06t2VsZHhMHf-1x7Y/edit?usp=sharing"",""แผน!FI87"")"),1)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IFERROR(__xludf.DUMMYFUNCTION("IMPORTRANGE(""https://docs.google.com/spreadsheets/d/1eHaY18a8A9IcSdp1K8H6x8fbOy06t2VsZHhMHf-1x7Y/edit?usp=sharing"",""แผน!FT87"")"),0)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152">
        <f ca="1">IFERROR(__xludf.DUMMYFUNCTION("IMPORTRANGE(""https://docs.google.com/spreadsheets/d/10OvvATaaLtwErnr3qtWFcTmtbfpFEt5Bsqel9sXx0uE/edit?usp=sharing"",""งานกองทุน!F87"")"),394381.86)</f>
        <v>394381.86</v>
      </c>
      <c r="K778" s="47">
        <f ca="1">IF(I778&gt;0,J778*100/I778,0)</f>
        <v>67.873556693384842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IFERROR(__xludf.DUMMYFUNCTION("IMPORTRANGE(""https://docs.google.com/spreadsheets/d/10OvvATaaLtwErnr3qtWFcTmtbfpFEt5Bsqel9sXx0uE/edit?usp=sharing"",""งานกองทุน!C87"")"),57)</f>
        <v>57</v>
      </c>
      <c r="J779" s="152">
        <f ca="1">IFERROR(__xludf.DUMMYFUNCTION("IMPORTRANGE(""https://docs.google.com/spreadsheets/d/10OvvATaaLtwErnr3qtWFcTmtbfpFEt5Bsqel9sXx0uE/edit?usp=sharing"",""งานกองทุน!E87"")"),36)</f>
        <v>36</v>
      </c>
      <c r="K779" s="47">
        <f ca="1">IF(I779&gt;0,J779*100/I779,0)</f>
        <v>63.157894736842103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IFERROR(__xludf.DUMMYFUNCTION("IMPORTRANGE(""https://docs.google.com/spreadsheets/d/10OvvATaaLtwErnr3qtWFcTmtbfpFEt5Bsqel9sXx0uE/edit?usp=sharing"",""งานกองทุน!I87"")"),7000)</f>
        <v>7000</v>
      </c>
      <c r="J780" s="15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ca="1">IF(I780&gt;0,J780*100/I780,0)</f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IFERROR(__xludf.DUMMYFUNCTION("IMPORTRANGE(""https://docs.google.com/spreadsheets/d/10OvvATaaLtwErnr3qtWFcTmtbfpFEt5Bsqel9sXx0uE/edit?usp=sharing"",""งานกองทุน!H87"")"),1)</f>
        <v>1</v>
      </c>
      <c r="J781" s="15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IFERROR(__xludf.DUMMYFUNCTION("IMPORTRANGE(""https://docs.google.com/spreadsheets/d/10OvvATaaLtwErnr3qtWFcTmtbfpFEt5Bsqel9sXx0uE/edit?usp=sharing"",""งานกองทุน!N87"")"),0)</f>
        <v>0</v>
      </c>
      <c r="J782" s="15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IFERROR(__xludf.DUMMYFUNCTION("IMPORTRANGE(""https://docs.google.com/spreadsheets/d/10OvvATaaLtwErnr3qtWFcTmtbfpFEt5Bsqel9sXx0uE/edit?usp=sharing"",""งานกองทุน!M87"")"),0)</f>
        <v>0</v>
      </c>
      <c r="J783" s="15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IFERROR(__xludf.DUMMYFUNCTION("IMPORTRANGE(""https://docs.google.com/spreadsheets/d/10OvvATaaLtwErnr3qtWFcTmtbfpFEt5Bsqel9sXx0uE/edit?usp=sharing"",""งานกองทุน!S87"")"),924000)</f>
        <v>924000</v>
      </c>
      <c r="J784" s="15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ca="1">IF(I784&gt;0,J784*100/I784,0)</f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IFERROR(__xludf.DUMMYFUNCTION("IMPORTRANGE(""https://docs.google.com/spreadsheets/d/10OvvATaaLtwErnr3qtWFcTmtbfpFEt5Bsqel9sXx0uE/edit?usp=sharing"",""งานกองทุน!R87"")"),33)</f>
        <v>33</v>
      </c>
      <c r="J785" s="197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ca="1">IF(I785&gt;0,J785*100/I785,0)</f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B62C5-F9E4-4EDB-A7E7-A9EBDA528303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333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3725148</v>
      </c>
      <c r="M18" s="35">
        <f ca="1">M19+M20</f>
        <v>3952013</v>
      </c>
      <c r="N18" s="35">
        <f ca="1">N19+N20</f>
        <v>3105416.1700000004</v>
      </c>
      <c r="O18" s="35">
        <f ca="1">IF(L18&gt;0,N18*100/L18,0)</f>
        <v>83.363564883865038</v>
      </c>
      <c r="P18" s="35">
        <f ca="1">IF(M18&gt;0,N18*100/M18,0)</f>
        <v>78.578085902045373</v>
      </c>
      <c r="Q18" s="35">
        <f ca="1">Q19+Q20</f>
        <v>2871309.24</v>
      </c>
      <c r="R18" s="35">
        <f ca="1">R19+R20</f>
        <v>2879009</v>
      </c>
      <c r="S18" s="35">
        <f ca="1">S19+S20</f>
        <v>1913559.81</v>
      </c>
      <c r="T18" s="35">
        <f ca="1">IF(Q18&gt;0,S18*100/Q18,0)</f>
        <v>66.644156029672374</v>
      </c>
      <c r="U18" s="35">
        <f ca="1">IF(R18&gt;0,S18*100/R18,0)</f>
        <v>66.46591969667341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3725148</v>
      </c>
      <c r="M20" s="39">
        <f ca="1">M23+M26</f>
        <v>3952013</v>
      </c>
      <c r="N20" s="39">
        <f ca="1">N23+N26</f>
        <v>3105416.1700000004</v>
      </c>
      <c r="O20" s="39">
        <f ca="1">IF(L20&gt;0,N20*100/L20,0)</f>
        <v>83.363564883865038</v>
      </c>
      <c r="P20" s="39">
        <f ca="1">IF(M20&gt;0,N20*100/M20,0)</f>
        <v>78.578085902045373</v>
      </c>
      <c r="Q20" s="39">
        <f ca="1">Q23+Q26</f>
        <v>2871309.24</v>
      </c>
      <c r="R20" s="39">
        <f ca="1">R23+R26</f>
        <v>2879009</v>
      </c>
      <c r="S20" s="39">
        <f ca="1">S23+S26</f>
        <v>1913559.81</v>
      </c>
      <c r="T20" s="39">
        <f ca="1">IF(Q20&gt;0,S20*100/Q20,0)</f>
        <v>66.644156029672374</v>
      </c>
      <c r="U20" s="39">
        <f ca="1">IF(R20&gt;0,S20*100/R20,0)</f>
        <v>66.46591969667341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3725148</v>
      </c>
      <c r="M21" s="47">
        <f ca="1">M22+M23</f>
        <v>3952013</v>
      </c>
      <c r="N21" s="47">
        <f ca="1">N22+N23</f>
        <v>3105416.1700000004</v>
      </c>
      <c r="O21" s="47">
        <f ca="1">IF(L21&gt;0,N21*100/L21,0)</f>
        <v>83.363564883865038</v>
      </c>
      <c r="P21" s="47">
        <f ca="1">IF(M21&gt;0,N21*100/M21,0)</f>
        <v>78.578085902045373</v>
      </c>
      <c r="Q21" s="47">
        <f ca="1">Q22+Q23</f>
        <v>2871309.24</v>
      </c>
      <c r="R21" s="47">
        <f ca="1">R22+R23</f>
        <v>2879009</v>
      </c>
      <c r="S21" s="47">
        <f ca="1">S22+S23</f>
        <v>1913559.81</v>
      </c>
      <c r="T21" s="47">
        <f ca="1">IF(Q21&gt;0,S21*100/Q21,0)</f>
        <v>66.644156029672374</v>
      </c>
      <c r="U21" s="47">
        <f ca="1">IF(R21&gt;0,S21*100/R21,0)</f>
        <v>66.46591969667341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3725148</v>
      </c>
      <c r="M23" s="47">
        <f ca="1">M49+M64+M77+M99+M130+M144+M162+M191+M178+M271+M287+M308+M325+M338+M361+M518</f>
        <v>3952013</v>
      </c>
      <c r="N23" s="47">
        <f ca="1">N49+N64+N77+N99+N130+N144+N162+N191+N178+N271+N287+N308+N325+N338+N361+N518</f>
        <v>3105416.1700000004</v>
      </c>
      <c r="O23" s="47">
        <f ca="1">IF(L23&gt;0,N23*100/L23,0)</f>
        <v>83.363564883865038</v>
      </c>
      <c r="P23" s="47">
        <f ca="1">IF(M23&gt;0,N23*100/M23,0)</f>
        <v>78.578085902045373</v>
      </c>
      <c r="Q23" s="47">
        <f ca="1">Q77+Q99+Q122+Q144+Q162+Q178+Q191+Q271+Q287+Q308+Q338+Q380+Q397+Q418+Q498+Q604+Q621+Q647+Q695+Q719+Q733+Q765</f>
        <v>2871309.24</v>
      </c>
      <c r="R23" s="47">
        <f ca="1">R77+R99+R122+R144+R162+R178+R191+R271+R287+R308+R338+R380+R397+R418+R498+R604+R621+R647+R695+R719+R733+R765</f>
        <v>2879009</v>
      </c>
      <c r="S23" s="47">
        <f ca="1">S77+S99+S122+S144+S162+S178+S191+S271+S287+S308+S338+S380+S397+S418+S498+S604+S621+S647+S695+S719+S733+S765</f>
        <v>1913559.81</v>
      </c>
      <c r="T23" s="47">
        <f ca="1">IF(Q23&gt;0,S23*100/Q23,0)</f>
        <v>66.644156029672374</v>
      </c>
      <c r="U23" s="47">
        <f ca="1">IF(R23&gt;0,S23*100/R23,0)</f>
        <v>66.46591969667341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3725148</v>
      </c>
      <c r="M40" s="803">
        <f ca="1">M44+M59+M72+M94+M125+M139+M157+M173+M186+M266+M282+M303+M320+M333+M356</f>
        <v>3952013</v>
      </c>
      <c r="N40" s="803">
        <f ca="1">N44+N59+N72+N94+N125+N139+N157+N173+N186+N266+N282+N303+N320+N333+N356</f>
        <v>3105416.1700000004</v>
      </c>
      <c r="O40" s="803">
        <f ca="1">IF(L40&gt;0,N40*100/L40,0)</f>
        <v>83.363564883865038</v>
      </c>
      <c r="P40" s="803">
        <f ca="1">IF(M40&gt;0,N40*100/M40,0)</f>
        <v>78.578085902045373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693258</v>
      </c>
      <c r="M44" s="79">
        <f ca="1">M45+M46</f>
        <v>736228</v>
      </c>
      <c r="N44" s="79">
        <f ca="1">N45+N46</f>
        <v>578000</v>
      </c>
      <c r="O44" s="79">
        <f ca="1">IF(L44&gt;0,N44*100/L44,0)</f>
        <v>83.374443569349367</v>
      </c>
      <c r="P44" s="79">
        <f ca="1">IF(M44&gt;0,N44*100/M44,0)</f>
        <v>78.50828819333141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693258</v>
      </c>
      <c r="M46" s="83">
        <f ca="1">M49+M52</f>
        <v>736228</v>
      </c>
      <c r="N46" s="83">
        <f ca="1">N49+N52</f>
        <v>578000</v>
      </c>
      <c r="O46" s="83">
        <f ca="1">IF(L46&gt;0,N46*100/L46,0)</f>
        <v>83.374443569349367</v>
      </c>
      <c r="P46" s="83">
        <f ca="1">IF(M46&gt;0,N46*100/M46,0)</f>
        <v>78.50828819333141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693258</v>
      </c>
      <c r="M47" s="47">
        <f ca="1">M48+M49</f>
        <v>736228</v>
      </c>
      <c r="N47" s="47">
        <f ca="1">N48+N49</f>
        <v>578000</v>
      </c>
      <c r="O47" s="47">
        <f ca="1">IF(L47&gt;0,N47*100/L47,0)</f>
        <v>83.374443569349367</v>
      </c>
      <c r="P47" s="47">
        <f ca="1">IF(M47&gt;0,N47*100/M47,0)</f>
        <v>78.50828819333141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IFERROR(__xludf.DUMMYFUNCTION("IMPORTRANGE(""https://docs.google.com/spreadsheets/d/1-uDff_7J0KD5mKrp0Vvzr7lt3OU09vwQwhkpOPPYv2Y/edit?usp=sharing"",""งบพรบ!P88"")"),693258)</f>
        <v>693258</v>
      </c>
      <c r="M49" s="47">
        <f ca="1">IFERROR(__xludf.DUMMYFUNCTION("IMPORTRANGE(""https://docs.google.com/spreadsheets/d/1-uDff_7J0KD5mKrp0Vvzr7lt3OU09vwQwhkpOPPYv2Y/edit?usp=sharing"",""งบพรบ!V88"")"),736228)</f>
        <v>736228</v>
      </c>
      <c r="N49" s="47">
        <f ca="1">IFERROR(__xludf.DUMMYFUNCTION("IMPORTRANGE(""https://docs.google.com/spreadsheets/d/1-uDff_7J0KD5mKrp0Vvzr7lt3OU09vwQwhkpOPPYv2Y/edit?usp=sharing"",""งบพรบ!Y88"")"),578000)</f>
        <v>578000</v>
      </c>
      <c r="O49" s="47">
        <f ca="1">IF(L49&gt;0,N49*100/L49,0)</f>
        <v>83.374443569349367</v>
      </c>
      <c r="P49" s="47">
        <f ca="1">IF(M49&gt;0,N49*100/M49,0)</f>
        <v>78.50828819333141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541400</v>
      </c>
      <c r="M59" s="106">
        <f ca="1">M60+M61</f>
        <v>541400</v>
      </c>
      <c r="N59" s="106">
        <f ca="1">N60+N61</f>
        <v>453641.6</v>
      </c>
      <c r="O59" s="106">
        <f ca="1">IF(L59&gt;0,N59*100/L59,0)</f>
        <v>83.79046915404507</v>
      </c>
      <c r="P59" s="106">
        <f ca="1">IF(M59&gt;0,N59*100/M59,0)</f>
        <v>83.79046915404507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541400</v>
      </c>
      <c r="M61" s="109">
        <f ca="1">M64+M67</f>
        <v>541400</v>
      </c>
      <c r="N61" s="109">
        <f ca="1">N64+N67</f>
        <v>453641.6</v>
      </c>
      <c r="O61" s="109">
        <f ca="1">IF(L61&gt;0,N61*100/L61,0)</f>
        <v>83.79046915404507</v>
      </c>
      <c r="P61" s="109">
        <f ca="1">IF(M61&gt;0,N61*100/M61,0)</f>
        <v>83.79046915404507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541400</v>
      </c>
      <c r="M62" s="47">
        <f ca="1">M63+M64</f>
        <v>541400</v>
      </c>
      <c r="N62" s="47">
        <f ca="1">N63+N64</f>
        <v>453641.6</v>
      </c>
      <c r="O62" s="47">
        <f ca="1">IF(L62&gt;0,N62*100/L62,0)</f>
        <v>83.79046915404507</v>
      </c>
      <c r="P62" s="47">
        <f ca="1">IF(M62&gt;0,N62*100/M62,0)</f>
        <v>83.79046915404507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IFERROR(__xludf.DUMMYFUNCTION("IMPORTRANGE(""https://docs.google.com/spreadsheets/d/1-uDff_7J0KD5mKrp0Vvzr7lt3OU09vwQwhkpOPPYv2Y/edit?usp=sharing"",""งบพรบ!AC88"")"),541400)</f>
        <v>541400</v>
      </c>
      <c r="M64" s="47">
        <f ca="1">IFERROR(__xludf.DUMMYFUNCTION("IMPORTRANGE(""https://docs.google.com/spreadsheets/d/1-uDff_7J0KD5mKrp0Vvzr7lt3OU09vwQwhkpOPPYv2Y/edit?usp=sharing"",""งบพรบ!AH88"")"),541400)</f>
        <v>541400</v>
      </c>
      <c r="N64" s="47">
        <f ca="1">IFERROR(__xludf.DUMMYFUNCTION("IMPORTRANGE(""https://docs.google.com/spreadsheets/d/1-uDff_7J0KD5mKrp0Vvzr7lt3OU09vwQwhkpOPPYv2Y/edit?usp=sharing"",""งบพรบ!AJ88"")"),453641.6)</f>
        <v>453641.6</v>
      </c>
      <c r="O64" s="47">
        <f ca="1">IF(L64&gt;0,N64*100/L64,0)</f>
        <v>83.79046915404507</v>
      </c>
      <c r="P64" s="47">
        <f ca="1">IF(M64&gt;0,N64*100/M64,0)</f>
        <v>83.79046915404507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2</v>
      </c>
      <c r="J70" s="127">
        <f>J82</f>
        <v>2</v>
      </c>
      <c r="K70" s="35">
        <f ca="1">IF(I70&gt;0,J70*100/I70,0)</f>
        <v>100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61</v>
      </c>
      <c r="J71" s="127">
        <f>J83</f>
        <v>61</v>
      </c>
      <c r="K71" s="35">
        <f ca="1">IF(I71&gt;0,J71*100/I71,0)</f>
        <v>100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150000</v>
      </c>
      <c r="M72" s="132">
        <f ca="1">M73+M74</f>
        <v>150000</v>
      </c>
      <c r="N72" s="132">
        <f ca="1">N73+N74</f>
        <v>111000</v>
      </c>
      <c r="O72" s="132">
        <f ca="1">IF(L72&gt;0,N72*100/L72,0)</f>
        <v>74</v>
      </c>
      <c r="P72" s="132">
        <f ca="1">IF(M72&gt;0,N72*100/M72,0)</f>
        <v>74</v>
      </c>
      <c r="Q72" s="132">
        <f ca="1">Q73+Q74</f>
        <v>792520</v>
      </c>
      <c r="R72" s="132">
        <f ca="1">R73+R74</f>
        <v>792520</v>
      </c>
      <c r="S72" s="132">
        <f ca="1">S73+S74</f>
        <v>362270</v>
      </c>
      <c r="T72" s="132">
        <f ca="1">IF(Q72&gt;0,S72*100/Q72,0)</f>
        <v>45.711149245444908</v>
      </c>
      <c r="U72" s="132">
        <f ca="1">IF(R72&gt;0,S72*100/R72,0)</f>
        <v>45.711149245444908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150000</v>
      </c>
      <c r="M74" s="47">
        <f ca="1">M77+M80</f>
        <v>150000</v>
      </c>
      <c r="N74" s="47">
        <f ca="1">N77+N80</f>
        <v>111000</v>
      </c>
      <c r="O74" s="47">
        <f ca="1">IF(L74&gt;0,N74*100/L74,0)</f>
        <v>74</v>
      </c>
      <c r="P74" s="47">
        <f ca="1">IF(M74&gt;0,N74*100/M74,0)</f>
        <v>74</v>
      </c>
      <c r="Q74" s="47">
        <f ca="1">Q77+Q80</f>
        <v>792520</v>
      </c>
      <c r="R74" s="47">
        <f ca="1">R77+R80</f>
        <v>792520</v>
      </c>
      <c r="S74" s="47">
        <f ca="1">S77+S80</f>
        <v>362270</v>
      </c>
      <c r="T74" s="47">
        <f ca="1">IF(Q74&gt;0,S74*100/Q74,0)</f>
        <v>45.711149245444908</v>
      </c>
      <c r="U74" s="47">
        <f ca="1">IF(R74&gt;0,S74*100/R74,0)</f>
        <v>45.711149245444908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150000</v>
      </c>
      <c r="M75" s="47">
        <f ca="1">M76+M77</f>
        <v>150000</v>
      </c>
      <c r="N75" s="47">
        <f ca="1">N76+N77</f>
        <v>111000</v>
      </c>
      <c r="O75" s="47">
        <f ca="1">IF(L75&gt;0,N75*100/L75,0)</f>
        <v>74</v>
      </c>
      <c r="P75" s="47">
        <f ca="1">IF(M75&gt;0,N75*100/M75,0)</f>
        <v>74</v>
      </c>
      <c r="Q75" s="47">
        <f ca="1">Q76+Q77</f>
        <v>792520</v>
      </c>
      <c r="R75" s="47">
        <f ca="1">R76+R77</f>
        <v>792520</v>
      </c>
      <c r="S75" s="47">
        <f ca="1">S76+S77</f>
        <v>362270</v>
      </c>
      <c r="T75" s="47">
        <f ca="1">IF(Q75&gt;0,S75*100/Q75,0)</f>
        <v>45.711149245444908</v>
      </c>
      <c r="U75" s="47">
        <f ca="1">IF(R75&gt;0,S75*100/R75,0)</f>
        <v>45.711149245444908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IFERROR(__xludf.DUMMYFUNCTION("IMPORTRANGE(""https://docs.google.com/spreadsheets/d/1-uDff_7J0KD5mKrp0Vvzr7lt3OU09vwQwhkpOPPYv2Y/edit?usp=sharing"",""งบพรบ!AM88"")"),150000)</f>
        <v>150000</v>
      </c>
      <c r="M77" s="47">
        <f ca="1">IFERROR(__xludf.DUMMYFUNCTION("IMPORTRANGE(""https://docs.google.com/spreadsheets/d/1-uDff_7J0KD5mKrp0Vvzr7lt3OU09vwQwhkpOPPYv2Y/edit?usp=sharing"",""งบพรบ!AR88"")"),150000)</f>
        <v>150000</v>
      </c>
      <c r="N77" s="47">
        <f ca="1">IFERROR(__xludf.DUMMYFUNCTION("IMPORTRANGE(""https://docs.google.com/spreadsheets/d/1-uDff_7J0KD5mKrp0Vvzr7lt3OU09vwQwhkpOPPYv2Y/edit?usp=sharing"",""งบพรบ!AT88"")"),111000)</f>
        <v>111000</v>
      </c>
      <c r="O77" s="47">
        <f ca="1">IF(L77&gt;0,N77*100/L77,0)</f>
        <v>74</v>
      </c>
      <c r="P77" s="47">
        <f ca="1">IF(M77&gt;0,N77*100/M77,0)</f>
        <v>74</v>
      </c>
      <c r="Q77" s="47">
        <f ca="1">IFERROR(__xludf.DUMMYFUNCTION("IMPORTRANGE(""https://docs.google.com/spreadsheets/d/1ItG2mGa2ceCfYo0BwxsXqNm01IGEUdYcSSLTEv9YCik/edit?usp=sharing"",""เบิกจ่ายกองทุน!BH88"")"),792520)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IFERROR(__xludf.DUMMYFUNCTION("IMPORTRANGE(""https://docs.google.com/spreadsheets/d/1ItG2mGa2ceCfYo0BwxsXqNm01IGEUdYcSSLTEv9YCik/edit?usp=sharing"",""เบิกจ่ายกองทุน!BI88"")"),792520)</f>
        <v>792520</v>
      </c>
      <c r="S77" s="47">
        <f ca="1">IFERROR(__xludf.DUMMYFUNCTION("IMPORTRANGE(""https://docs.google.com/spreadsheets/d/1ItG2mGa2ceCfYo0BwxsXqNm01IGEUdYcSSLTEv9YCik/edit?usp=sharing"",""เบิกจ่ายกองทุน!BJ88"")"),362270)</f>
        <v>362270</v>
      </c>
      <c r="T77" s="47">
        <f ca="1">IF(Q77&gt;0,S77*100/Q77,0)</f>
        <v>45.711149245444908</v>
      </c>
      <c r="U77" s="47">
        <f ca="1">IF(R77&gt;0,S77*100/R77,0)</f>
        <v>45.711149245444908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2</v>
      </c>
      <c r="J82" s="147">
        <f>J84+J86+J88</f>
        <v>2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61</v>
      </c>
      <c r="J83" s="147">
        <f>J85+J87+J89</f>
        <v>61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IFERROR(__xludf.DUMMYFUNCTION("IMPORTRANGE(""https://docs.google.com/spreadsheets/d/1eHaY18a8A9IcSdp1K8H6x8fbOy06t2VsZHhMHf-1x7Y/edit?usp=sharing"",""แผน!H88"")"),1)</f>
        <v>1</v>
      </c>
      <c r="J84" s="167">
        <v>1</v>
      </c>
      <c r="K84" s="153">
        <f ca="1">IF(I84&gt;0,J84*100/I84,0)</f>
        <v>100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IFERROR(__xludf.DUMMYFUNCTION("IMPORTRANGE(""https://docs.google.com/spreadsheets/d/1eHaY18a8A9IcSdp1K8H6x8fbOy06t2VsZHhMHf-1x7Y/edit?usp=sharing"",""แผน!I88"")"),31)</f>
        <v>31</v>
      </c>
      <c r="J85" s="167">
        <v>31</v>
      </c>
      <c r="K85" s="153">
        <f ca="1">IF(I85&gt;0,J85*100/I85,0)</f>
        <v>100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IFERROR(__xludf.DUMMYFUNCTION("IMPORTRANGE(""https://docs.google.com/spreadsheets/d/1eHaY18a8A9IcSdp1K8H6x8fbOy06t2VsZHhMHf-1x7Y/edit?usp=sharing"",""แผน!F88"")"),1)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IFERROR(__xludf.DUMMYFUNCTION("IMPORTRANGE(""https://docs.google.com/spreadsheets/d/1eHaY18a8A9IcSdp1K8H6x8fbOy06t2VsZHhMHf-1x7Y/edit?usp=sharing"",""แผน!G88"")"),30)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IFERROR(__xludf.DUMMYFUNCTION("IMPORTRANGE(""https://docs.google.com/spreadsheets/d/1eHaY18a8A9IcSdp1K8H6x8fbOy06t2VsZHhMHf-1x7Y/edit?usp=sharing"",""แผน!J88"")"),2)</f>
        <v>2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6000</v>
      </c>
      <c r="O94" s="132">
        <f ca="1">IF(L94&gt;0,N94*100/L94,0)</f>
        <v>100</v>
      </c>
      <c r="P94" s="132">
        <f ca="1">IF(M94&gt;0,N94*100/M94,0)</f>
        <v>100</v>
      </c>
      <c r="Q94" s="132">
        <f ca="1">Q95+Q96</f>
        <v>84420</v>
      </c>
      <c r="R94" s="132">
        <f ca="1">R95+R96</f>
        <v>84420</v>
      </c>
      <c r="S94" s="132">
        <f ca="1">S95+S96</f>
        <v>49270</v>
      </c>
      <c r="T94" s="132">
        <f ca="1">IF(Q94&gt;0,S94*100/Q94,0)</f>
        <v>58.362947168917316</v>
      </c>
      <c r="U94" s="132">
        <f ca="1">IF(R94&gt;0,S94*100/R94,0)</f>
        <v>58.362947168917316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6000</v>
      </c>
      <c r="O96" s="47">
        <f ca="1">IF(L96&gt;0,N96*100/L96,0)</f>
        <v>100</v>
      </c>
      <c r="P96" s="47">
        <f ca="1">IF(M96&gt;0,N96*100/M96,0)</f>
        <v>100</v>
      </c>
      <c r="Q96" s="47">
        <f ca="1">Q99+Q102</f>
        <v>84420</v>
      </c>
      <c r="R96" s="47">
        <f ca="1">R99+R102</f>
        <v>84420</v>
      </c>
      <c r="S96" s="47">
        <f ca="1">S99+S102</f>
        <v>49270</v>
      </c>
      <c r="T96" s="47">
        <f ca="1">IF(Q96&gt;0,S96*100/Q96,0)</f>
        <v>58.362947168917316</v>
      </c>
      <c r="U96" s="47">
        <f ca="1">IF(R96&gt;0,S96*100/R96,0)</f>
        <v>58.362947168917316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6000</v>
      </c>
      <c r="O97" s="47">
        <f ca="1">IF(L97&gt;0,N97*100/L97,0)</f>
        <v>100</v>
      </c>
      <c r="P97" s="47">
        <f ca="1">IF(M97&gt;0,N97*100/M97,0)</f>
        <v>100</v>
      </c>
      <c r="Q97" s="47">
        <f ca="1">Q98+Q99</f>
        <v>84420</v>
      </c>
      <c r="R97" s="47">
        <f ca="1">R98+R99</f>
        <v>84420</v>
      </c>
      <c r="S97" s="47">
        <f ca="1">S98+S99</f>
        <v>49270</v>
      </c>
      <c r="T97" s="47">
        <f ca="1">IF(Q97&gt;0,S97*100/Q97,0)</f>
        <v>58.362947168917316</v>
      </c>
      <c r="U97" s="47">
        <f ca="1">IF(R97&gt;0,S97*100/R97,0)</f>
        <v>58.362947168917316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IFERROR(__xludf.DUMMYFUNCTION("IMPORTRANGE(""https://docs.google.com/spreadsheets/d/1-uDff_7J0KD5mKrp0Vvzr7lt3OU09vwQwhkpOPPYv2Y/edit?usp=sharing"",""งบพรบ!AW88"")"),6000)</f>
        <v>6000</v>
      </c>
      <c r="M99" s="47">
        <f ca="1">IFERROR(__xludf.DUMMYFUNCTION("IMPORTRANGE(""https://docs.google.com/spreadsheets/d/1-uDff_7J0KD5mKrp0Vvzr7lt3OU09vwQwhkpOPPYv2Y/edit?usp=sharing"",""งบพรบ!BB88"")"),6000)</f>
        <v>6000</v>
      </c>
      <c r="N99" s="47">
        <f ca="1">IFERROR(__xludf.DUMMYFUNCTION("IMPORTRANGE(""https://docs.google.com/spreadsheets/d/1-uDff_7J0KD5mKrp0Vvzr7lt3OU09vwQwhkpOPPYv2Y/edit?usp=sharing"",""งบพรบ!BD88"")"),6000)</f>
        <v>6000</v>
      </c>
      <c r="O99" s="47">
        <f ca="1">IF(L99&gt;0,N99*100/L99,0)</f>
        <v>100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IFERROR(__xludf.DUMMYFUNCTION("IMPORTRANGE(""https://docs.google.com/spreadsheets/d/1ItG2mGa2ceCfYo0BwxsXqNm01IGEUdYcSSLTEv9YCik/edit?usp=sharing"",""เบิกจ่ายกองทุน!AK88"")"),84420)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IFERROR(__xludf.DUMMYFUNCTION("IMPORTRANGE(""https://docs.google.com/spreadsheets/d/1ItG2mGa2ceCfYo0BwxsXqNm01IGEUdYcSSLTEv9YCik/edit?usp=sharing"",""เบิกจ่ายกองทุน!AL88"")"),49270)</f>
        <v>49270</v>
      </c>
      <c r="T99" s="47">
        <f ca="1">IF(Q99&gt;0,S99*100/Q99,0)</f>
        <v>58.362947168917316</v>
      </c>
      <c r="U99" s="47">
        <f ca="1">IF(R99&gt;0,S99*100/R99,0)</f>
        <v>58.362947168917316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IFERROR(__xludf.DUMMYFUNCTION("IMPORTRANGE(""https://docs.google.com/spreadsheets/d/1eHaY18a8A9IcSdp1K8H6x8fbOy06t2VsZHhMHf-1x7Y/edit?usp=sharing"",""แผน!N88"")"),30)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IFERROR(__xludf.DUMMYFUNCTION("IMPORTRANGE(""https://docs.google.com/spreadsheets/d/1eHaY18a8A9IcSdp1K8H6x8fbOy06t2VsZHhMHf-1x7Y/edit?usp=sharing"",""แผน!O88"")"),10)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IFERROR(__xludf.DUMMYFUNCTION("IMPORTRANGE(""https://docs.google.com/spreadsheets/d/1eHaY18a8A9IcSdp1K8H6x8fbOy06t2VsZHhMHf-1x7Y/edit?usp=sharing"",""แผน!N88"")"),30)</f>
        <v>30</v>
      </c>
      <c r="J113" s="175">
        <v>30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IFERROR(__xludf.DUMMYFUNCTION("IMPORTRANGE(""https://docs.google.com/spreadsheets/d/1eHaY18a8A9IcSdp1K8H6x8fbOy06t2VsZHhMHf-1x7Y/edit?usp=sharing"",""แผน!O88"")"),10)</f>
        <v>10</v>
      </c>
      <c r="J114" s="167">
        <v>10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50</v>
      </c>
      <c r="J116" s="127">
        <f>J127</f>
        <v>50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284520</v>
      </c>
      <c r="R117" s="132">
        <f ca="1">R118+R119</f>
        <v>284520</v>
      </c>
      <c r="S117" s="132">
        <f ca="1">S118+S119</f>
        <v>210696.67</v>
      </c>
      <c r="T117" s="132">
        <f ca="1">IF(Q117&gt;0,S117*100/Q117,0)</f>
        <v>74.053377618445097</v>
      </c>
      <c r="U117" s="132">
        <f ca="1">IF(R117&gt;0,S117*100/R117,0)</f>
        <v>74.053377618445097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284520</v>
      </c>
      <c r="R119" s="47">
        <f ca="1">R122+R125</f>
        <v>284520</v>
      </c>
      <c r="S119" s="47">
        <f ca="1">S122+S125</f>
        <v>210696.67</v>
      </c>
      <c r="T119" s="47">
        <f ca="1">IF(Q119&gt;0,S119*100/Q119,0)</f>
        <v>74.053377618445097</v>
      </c>
      <c r="U119" s="47">
        <f ca="1">IF(R119&gt;0,S119*100/R119,0)</f>
        <v>74.053377618445097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284520</v>
      </c>
      <c r="R120" s="47">
        <f ca="1">R121+R122</f>
        <v>284520</v>
      </c>
      <c r="S120" s="47">
        <f ca="1">S121+S122</f>
        <v>210696.67</v>
      </c>
      <c r="T120" s="47">
        <f ca="1">IF(Q120&gt;0,S120*100/Q120,0)</f>
        <v>74.053377618445097</v>
      </c>
      <c r="U120" s="47">
        <f ca="1">IF(R120&gt;0,S120*100/R120,0)</f>
        <v>74.053377618445097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IFERROR(__xludf.DUMMYFUNCTION("IMPORTRANGE(""https://docs.google.com/spreadsheets/d/1ItG2mGa2ceCfYo0BwxsXqNm01IGEUdYcSSLTEv9YCik/edit?usp=sharing"",""เบิกจ่ายกองทุน!V88"")"),284520)</f>
        <v>284520</v>
      </c>
      <c r="S122" s="47">
        <f ca="1">IFERROR(__xludf.DUMMYFUNCTION("IMPORTRANGE(""https://docs.google.com/spreadsheets/d/1ItG2mGa2ceCfYo0BwxsXqNm01IGEUdYcSSLTEv9YCik/edit?usp=sharing"",""เบิกจ่ายกองทุน!W88"")"),210696.67)</f>
        <v>210696.67</v>
      </c>
      <c r="T122" s="47">
        <f ca="1">IF(Q122&gt;0,S122*100/Q122,0)</f>
        <v>74.053377618445097</v>
      </c>
      <c r="U122" s="47">
        <f ca="1">IF(R122&gt;0,S122*100/R122,0)</f>
        <v>74.053377618445097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IFERROR(__xludf.DUMMYFUNCTION("IMPORTRANGE(""https://docs.google.com/spreadsheets/d/1eHaY18a8A9IcSdp1K8H6x8fbOy06t2VsZHhMHf-1x7Y/edit?usp=sharing"",""แผน!FF88"")"),50)</f>
        <v>50</v>
      </c>
      <c r="J127" s="167">
        <v>50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IFERROR(__xludf.DUMMYFUNCTION("IMPORTRANGE(""https://docs.google.com/spreadsheets/d/1eHaY18a8A9IcSdp1K8H6x8fbOy06t2VsZHhMHf-1x7Y/edit?usp=sharing"",""แผน!FG88"")"),2)</f>
        <v>2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IFERROR(__xludf.DUMMYFUNCTION("IMPORTRANGE(""https://docs.google.com/spreadsheets/d/1eHaY18a8A9IcSdp1K8H6x8fbOy06t2VsZHhMHf-1x7Y/edit?usp=sharing"",""แผน!FH88"")"),20)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IFERROR(__xludf.DUMMYFUNCTION("IMPORTRANGE(""https://docs.google.com/spreadsheets/d/1eHaY18a8A9IcSdp1K8H6x8fbOy06t2VsZHhMHf-1x7Y/edit?usp=sharing"",""แผน!FI88"")"),1)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31600</v>
      </c>
      <c r="M139" s="132">
        <f ca="1">M140+M141</f>
        <v>26600</v>
      </c>
      <c r="N139" s="132">
        <f ca="1">N140+N141</f>
        <v>26600</v>
      </c>
      <c r="O139" s="132">
        <f ca="1">IF(L139&gt;0,N139*100/L139,0)</f>
        <v>84.177215189873422</v>
      </c>
      <c r="P139" s="132">
        <f ca="1">IF(M139&gt;0,N139*100/M139,0)</f>
        <v>100</v>
      </c>
      <c r="Q139" s="132">
        <f ca="1">Q140+Q141</f>
        <v>39860</v>
      </c>
      <c r="R139" s="132">
        <f ca="1">R140+R141</f>
        <v>39860</v>
      </c>
      <c r="S139" s="132">
        <f ca="1">S140+S141</f>
        <v>18080</v>
      </c>
      <c r="T139" s="132">
        <f ca="1">IF(Q139&gt;0,S139*100/Q139,0)</f>
        <v>45.358755644756648</v>
      </c>
      <c r="U139" s="132">
        <f ca="1">IF(R139&gt;0,S139*100/R139,0)</f>
        <v>45.358755644756648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31600</v>
      </c>
      <c r="M141" s="47">
        <f ca="1">M144+M147</f>
        <v>26600</v>
      </c>
      <c r="N141" s="47">
        <f ca="1">N144+N147</f>
        <v>26600</v>
      </c>
      <c r="O141" s="47">
        <f ca="1">IF(L141&gt;0,N141*100/L141,0)</f>
        <v>84.177215189873422</v>
      </c>
      <c r="P141" s="47">
        <f ca="1">IF(M141&gt;0,N141*100/M141,0)</f>
        <v>100</v>
      </c>
      <c r="Q141" s="47">
        <f ca="1">Q144+Q147</f>
        <v>39860</v>
      </c>
      <c r="R141" s="47">
        <f ca="1">R144+R147</f>
        <v>39860</v>
      </c>
      <c r="S141" s="47">
        <f ca="1">S144+S147</f>
        <v>18080</v>
      </c>
      <c r="T141" s="47">
        <f ca="1">IF(Q141&gt;0,S141*100/Q141,0)</f>
        <v>45.358755644756648</v>
      </c>
      <c r="U141" s="47">
        <f ca="1">IF(R141&gt;0,S141*100/R141,0)</f>
        <v>45.358755644756648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31600</v>
      </c>
      <c r="M142" s="47">
        <f ca="1">M143+M144</f>
        <v>26600</v>
      </c>
      <c r="N142" s="47">
        <f ca="1">N143+N144</f>
        <v>26600</v>
      </c>
      <c r="O142" s="47">
        <f ca="1">IF(L142&gt;0,N142*100/L142,0)</f>
        <v>84.177215189873422</v>
      </c>
      <c r="P142" s="47">
        <f ca="1">IF(M142&gt;0,N142*100/M142,0)</f>
        <v>100</v>
      </c>
      <c r="Q142" s="47">
        <f ca="1">Q143+Q144</f>
        <v>39860</v>
      </c>
      <c r="R142" s="47">
        <f ca="1">R143+R144</f>
        <v>39860</v>
      </c>
      <c r="S142" s="47">
        <f ca="1">S143+S144</f>
        <v>18080</v>
      </c>
      <c r="T142" s="47">
        <f ca="1">IF(Q142&gt;0,S142*100/Q142,0)</f>
        <v>45.358755644756648</v>
      </c>
      <c r="U142" s="47">
        <f ca="1">IF(R142&gt;0,S142*100/R142,0)</f>
        <v>45.358755644756648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IFERROR(__xludf.DUMMYFUNCTION("IMPORTRANGE(""https://docs.google.com/spreadsheets/d/1-uDff_7J0KD5mKrp0Vvzr7lt3OU09vwQwhkpOPPYv2Y/edit?usp=sharing"",""งบพรบ!BX88"")"),26600)</f>
        <v>26600</v>
      </c>
      <c r="O144" s="47">
        <f ca="1">IF(L144&gt;0,N144*100/L144,0)</f>
        <v>84.177215189873422</v>
      </c>
      <c r="P144" s="47">
        <f ca="1">IF(M144&gt;0,N144*100/M144,0)</f>
        <v>100</v>
      </c>
      <c r="Q144" s="47">
        <f ca="1">IFERROR(__xludf.DUMMYFUNCTION("IMPORTRANGE(""https://docs.google.com/spreadsheets/d/1ItG2mGa2ceCfYo0BwxsXqNm01IGEUdYcSSLTEv9YCik/edit?usp=sharing"",""เบิกจ่ายกองทุน!CF88"")"),39860)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IFERROR(__xludf.DUMMYFUNCTION("IMPORTRANGE(""https://docs.google.com/spreadsheets/d/1ItG2mGa2ceCfYo0BwxsXqNm01IGEUdYcSSLTEv9YCik/edit?usp=sharing"",""เบิกจ่ายกองทุน!CG88"")"),39860)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IFERROR(__xludf.DUMMYFUNCTION("IMPORTRANGE(""https://docs.google.com/spreadsheets/d/1ItG2mGa2ceCfYo0BwxsXqNm01IGEUdYcSSLTEv9YCik/edit?usp=sharing"",""เบิกจ่ายกองทุน!CH88"")"),18080)</f>
        <v>18080</v>
      </c>
      <c r="T144" s="47">
        <f ca="1">IF(Q144&gt;0,S144*100/Q144,0)</f>
        <v>45.358755644756648</v>
      </c>
      <c r="U144" s="47">
        <f ca="1">IF(R144&gt;0,S144*100/R144,0)</f>
        <v>45.358755644756648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IFERROR(__xludf.DUMMYFUNCTION("IMPORTRANGE(""https://docs.google.com/spreadsheets/d/1eHaY18a8A9IcSdp1K8H6x8fbOy06t2VsZHhMHf-1x7Y/edit?usp=sharing"",""แผน!W88"")"),20)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IFERROR(__xludf.DUMMYFUNCTION("IMPORTRANGE(""https://docs.google.com/spreadsheets/d/1eHaY18a8A9IcSdp1K8H6x8fbOy06t2VsZHhMHf-1x7Y/edit?usp=sharing"",""แผน!X88"")"),2)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15</v>
      </c>
      <c r="K156" s="35">
        <f ca="1">IF(I156&gt;0,J156*100/I156,0)</f>
        <v>100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2250</v>
      </c>
      <c r="N157" s="132">
        <f ca="1">N158+N159</f>
        <v>2250</v>
      </c>
      <c r="O157" s="132">
        <f ca="1">IF(L157&gt;0,N157*100/L157,0)</f>
        <v>50</v>
      </c>
      <c r="P157" s="132">
        <f ca="1">IF(M157&gt;0,N157*100/M157,0)</f>
        <v>100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2250</v>
      </c>
      <c r="N159" s="47">
        <f ca="1">N162+N165</f>
        <v>2250</v>
      </c>
      <c r="O159" s="47">
        <f ca="1">IF(L159&gt;0,N159*100/L159,0)</f>
        <v>50</v>
      </c>
      <c r="P159" s="47">
        <f ca="1">IF(M159&gt;0,N159*100/M159,0)</f>
        <v>100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2250</v>
      </c>
      <c r="N160" s="47">
        <f ca="1">N161+N162</f>
        <v>2250</v>
      </c>
      <c r="O160" s="47">
        <f ca="1">IF(L160&gt;0,N160*100/L160,0)</f>
        <v>50</v>
      </c>
      <c r="P160" s="47">
        <f ca="1">IF(M160&gt;0,N160*100/M160,0)</f>
        <v>100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IFERROR(__xludf.DUMMYFUNCTION("IMPORTRANGE(""https://docs.google.com/spreadsheets/d/1-uDff_7J0KD5mKrp0Vvzr7lt3OU09vwQwhkpOPPYv2Y/edit?usp=sharing"",""งบพรบ!CA88"")"),4500)</f>
        <v>4500</v>
      </c>
      <c r="M162" s="47">
        <f ca="1">IFERROR(__xludf.DUMMYFUNCTION("IMPORTRANGE(""https://docs.google.com/spreadsheets/d/1-uDff_7J0KD5mKrp0Vvzr7lt3OU09vwQwhkpOPPYv2Y/edit?usp=sharing"",""งบพรบ!CF88"")"),2250)</f>
        <v>2250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ca="1">IF(L162&gt;0,N162*100/L162,0)</f>
        <v>50</v>
      </c>
      <c r="P162" s="47">
        <f ca="1">IF(M162&gt;0,N162*100/M162,0)</f>
        <v>100</v>
      </c>
      <c r="Q162" s="47">
        <f ca="1">IFERROR(__xludf.DUMMYFUNCTION("IMPORTRANGE(""https://docs.google.com/spreadsheets/d/1ItG2mGa2ceCfYo0BwxsXqNm01IGEUdYcSSLTEv9YCik/edit?usp=sharing"",""เบิกจ่ายกองทุน!AM88"")"),0)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386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IFERROR(__xludf.DUMMYFUNCTION("IMPORTRANGE(""https://docs.google.com/spreadsheets/d/1eHaY18a8A9IcSdp1K8H6x8fbOy06t2VsZHhMHf-1x7Y/edit?usp=sharing"",""แผน!Z88"")"),15)</f>
        <v>15</v>
      </c>
      <c r="J167" s="167">
        <v>15</v>
      </c>
      <c r="K167" s="47">
        <f ca="1">IF(I167&gt;0,J167*100/I167,0)</f>
        <v>100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I167</f>
        <v>15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15</v>
      </c>
      <c r="J172" s="214">
        <f>J183+J184</f>
        <v>7</v>
      </c>
      <c r="K172" s="215">
        <f ca="1">IF(I172&gt;0,J172*100/I172,0)</f>
        <v>46.666666666666664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35640</v>
      </c>
      <c r="N173" s="132">
        <f ca="1">N174+N175</f>
        <v>35640</v>
      </c>
      <c r="O173" s="132">
        <f ca="1">IF(L173&gt;0,N173*100/L173,0)</f>
        <v>181.92955589586524</v>
      </c>
      <c r="P173" s="132">
        <f ca="1">IF(M173&gt;0,N173*100/M173,0)</f>
        <v>100</v>
      </c>
      <c r="Q173" s="132">
        <f ca="1">Q174+Q175</f>
        <v>21200</v>
      </c>
      <c r="R173" s="132">
        <f ca="1">R174+R175</f>
        <v>21200</v>
      </c>
      <c r="S173" s="132">
        <f ca="1">S174+S175</f>
        <v>16032</v>
      </c>
      <c r="T173" s="132">
        <f ca="1">IF(Q173&gt;0,S173*100/Q173,0)</f>
        <v>75.622641509433961</v>
      </c>
      <c r="U173" s="132">
        <f ca="1">IF(R173&gt;0,S173*100/R173,0)</f>
        <v>75.622641509433961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35640</v>
      </c>
      <c r="N175" s="47">
        <f ca="1">N178+N181</f>
        <v>35640</v>
      </c>
      <c r="O175" s="47">
        <f ca="1">IF(L175&gt;0,N175*100/L175,0)</f>
        <v>181.92955589586524</v>
      </c>
      <c r="P175" s="47">
        <f ca="1">IF(M175&gt;0,N175*100/M175,0)</f>
        <v>100</v>
      </c>
      <c r="Q175" s="47">
        <f ca="1">Q178+Q181</f>
        <v>21200</v>
      </c>
      <c r="R175" s="47">
        <f ca="1">R178+R181</f>
        <v>21200</v>
      </c>
      <c r="S175" s="47">
        <f ca="1">S178+S181</f>
        <v>16032</v>
      </c>
      <c r="T175" s="47">
        <f ca="1">IF(Q175&gt;0,S175*100/Q175,0)</f>
        <v>75.622641509433961</v>
      </c>
      <c r="U175" s="47">
        <f ca="1">IF(R175&gt;0,S175*100/R175,0)</f>
        <v>75.622641509433961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35640</v>
      </c>
      <c r="N176" s="47">
        <f ca="1">N177+N178</f>
        <v>35640</v>
      </c>
      <c r="O176" s="47">
        <f ca="1">IF(L176&gt;0,N176*100/L176,0)</f>
        <v>181.92955589586524</v>
      </c>
      <c r="P176" s="47">
        <f ca="1">IF(M176&gt;0,N176*100/M176,0)</f>
        <v>100</v>
      </c>
      <c r="Q176" s="47">
        <f ca="1">Q177+Q178</f>
        <v>21200</v>
      </c>
      <c r="R176" s="47">
        <f ca="1">R177+R178</f>
        <v>21200</v>
      </c>
      <c r="S176" s="47">
        <f ca="1">S177+S178</f>
        <v>16032</v>
      </c>
      <c r="T176" s="47">
        <f ca="1">IF(Q176&gt;0,S176*100/Q176,0)</f>
        <v>75.622641509433961</v>
      </c>
      <c r="U176" s="47">
        <f ca="1">IF(R176&gt;0,S176*100/R176,0)</f>
        <v>75.622641509433961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IFERROR(__xludf.DUMMYFUNCTION("IMPORTRANGE(""https://docs.google.com/spreadsheets/d/1-uDff_7J0KD5mKrp0Vvzr7lt3OU09vwQwhkpOPPYv2Y/edit?usp=sharing"",""งบพรบ!CR88"")"),35640)</f>
        <v>35640</v>
      </c>
      <c r="O178" s="47">
        <f ca="1">IF(L178&gt;0,N178*100/L178,0)</f>
        <v>181.92955589586524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IFERROR(__xludf.DUMMYFUNCTION("IMPORTRANGE(""https://docs.google.com/spreadsheets/d/1ItG2mGa2ceCfYo0BwxsXqNm01IGEUdYcSSLTEv9YCik/edit?usp=sharing"",""เบิกจ่ายกองทุน!DG88"")"),21200)</f>
        <v>21200</v>
      </c>
      <c r="R178" s="47">
        <f ca="1">IFERROR(__xludf.DUMMYFUNCTION("IMPORTRANGE(""https://docs.google.com/spreadsheets/d/1ItG2mGa2ceCfYo0BwxsXqNm01IGEUdYcSSLTEv9YCik/edit?usp=sharing"",""เบิกจ่ายกองทุน!DH88"")"),21200)</f>
        <v>21200</v>
      </c>
      <c r="S178" s="47">
        <f ca="1">IFERROR(__xludf.DUMMYFUNCTION("IMPORTRANGE(""https://docs.google.com/spreadsheets/d/1ItG2mGa2ceCfYo0BwxsXqNm01IGEUdYcSSLTEv9YCik/edit?usp=sharing"",""เบิกจ่ายกองทุน!DI88"")"),16032)</f>
        <v>16032</v>
      </c>
      <c r="T178" s="47">
        <f ca="1">IF(Q178&gt;0,S178*100/Q178,0)</f>
        <v>75.622641509433961</v>
      </c>
      <c r="U178" s="47">
        <f ca="1">IF(R178&gt;0,S178*100/R178,0)</f>
        <v>75.622641509433961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IFERROR(__xludf.DUMMYFUNCTION("IMPORTRANGE(""https://docs.google.com/spreadsheets/d/1eHaY18a8A9IcSdp1K8H6x8fbOy06t2VsZHhMHf-1x7Y/edit?usp=sharing"",""แผน!AA88"")"),15)</f>
        <v>15</v>
      </c>
      <c r="J183" s="167">
        <v>7</v>
      </c>
      <c r="K183" s="47">
        <f ca="1">IF(I183&gt;0,J183*100/I183,0)</f>
        <v>46.666666666666664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217500</v>
      </c>
      <c r="M186" s="132">
        <f ca="1">M187+M188</f>
        <v>267965</v>
      </c>
      <c r="N186" s="132">
        <f ca="1">N187+N188</f>
        <v>232294.35</v>
      </c>
      <c r="O186" s="132">
        <f ca="1">IF(L186&gt;0,N186*100/L186,0)</f>
        <v>106.80200000000001</v>
      </c>
      <c r="P186" s="132">
        <f ca="1">IF(M186&gt;0,N186*100/M186,0)</f>
        <v>86.688317504151655</v>
      </c>
      <c r="Q186" s="132">
        <f ca="1">Q187+Q188</f>
        <v>56000</v>
      </c>
      <c r="R186" s="132">
        <f ca="1">R187+R188</f>
        <v>56000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217500</v>
      </c>
      <c r="M188" s="47">
        <f ca="1">M191+M194</f>
        <v>267965</v>
      </c>
      <c r="N188" s="47">
        <f ca="1">N191+N194</f>
        <v>232294.35</v>
      </c>
      <c r="O188" s="47">
        <f ca="1">IF(L188&gt;0,N188*100/L188,0)</f>
        <v>106.80200000000001</v>
      </c>
      <c r="P188" s="47">
        <f ca="1">IF(M188&gt;0,N188*100/M188,0)</f>
        <v>86.688317504151655</v>
      </c>
      <c r="Q188" s="47">
        <f ca="1">Q191+Q194</f>
        <v>56000</v>
      </c>
      <c r="R188" s="47">
        <f ca="1">R191+R194</f>
        <v>56000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217500</v>
      </c>
      <c r="M189" s="47">
        <f ca="1">M190+M191</f>
        <v>267965</v>
      </c>
      <c r="N189" s="47">
        <f ca="1">N190+N191</f>
        <v>232294.35</v>
      </c>
      <c r="O189" s="47">
        <f ca="1">IF(L189&gt;0,N189*100/L189,0)</f>
        <v>106.80200000000001</v>
      </c>
      <c r="P189" s="47">
        <f ca="1">IF(M189&gt;0,N189*100/M189,0)</f>
        <v>86.688317504151655</v>
      </c>
      <c r="Q189" s="47">
        <f ca="1">Q190+Q191</f>
        <v>56000</v>
      </c>
      <c r="R189" s="47">
        <f ca="1">R190+R191</f>
        <v>56000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IFERROR(__xludf.DUMMYFUNCTION("IMPORTRANGE(""https://docs.google.com/spreadsheets/d/1-uDff_7J0KD5mKrp0Vvzr7lt3OU09vwQwhkpOPPYv2Y/edit?usp=sharing"",""งบพรบ!CU88"")"),217500)</f>
        <v>217500</v>
      </c>
      <c r="M191" s="47">
        <f ca="1">IFERROR(__xludf.DUMMYFUNCTION("IMPORTRANGE(""https://docs.google.com/spreadsheets/d/1-uDff_7J0KD5mKrp0Vvzr7lt3OU09vwQwhkpOPPYv2Y/edit?usp=sharing"",""งบพรบ!CZ88"")"),267965)</f>
        <v>267965</v>
      </c>
      <c r="N191" s="47">
        <f ca="1">IFERROR(__xludf.DUMMYFUNCTION("IMPORTRANGE(""https://docs.google.com/spreadsheets/d/1-uDff_7J0KD5mKrp0Vvzr7lt3OU09vwQwhkpOPPYv2Y/edit?usp=sharing"",""งบพรบ!DB88"")"),232294.35)</f>
        <v>232294.35</v>
      </c>
      <c r="O191" s="47">
        <f ca="1">IF(L191&gt;0,N191*100/L191,0)</f>
        <v>106.80200000000001</v>
      </c>
      <c r="P191" s="47">
        <f ca="1">IF(M191&gt;0,N191*100/M191,0)</f>
        <v>86.688317504151655</v>
      </c>
      <c r="Q191" s="47">
        <f ca="1">IFERROR(__xludf.DUMMYFUNCTION("IMPORTRANGE(""https://docs.google.com/spreadsheets/d/1ItG2mGa2ceCfYo0BwxsXqNm01IGEUdYcSSLTEv9YCik/edit?usp=sharing"",""เบิกจ่ายกองทุน!BQ88"")"),56000)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IFERROR(__xludf.DUMMYFUNCTION("IMPORTRANGE(""https://docs.google.com/spreadsheets/d/1ItG2mGa2ceCfYo0BwxsXqNm01IGEUdYcSSLTEv9YCik/edit?usp=sharing"",""เบิกจ่ายกองทุน!BR88"")"),56000)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IFERROR(__xludf.DUMMYFUNCTION("IMPORTRANGE(""https://docs.google.com/spreadsheets/d/1ItG2mGa2ceCfYo0BwxsXqNm01IGEUdYcSSLTEv9YCik/edit?usp=sharing"",""เบิกจ่ายกองทุน!BS88"")"),0)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769">
        <v>3456</v>
      </c>
      <c r="O196" s="132">
        <f ca="1">IF(L196&gt;0,N196*100/L196,0)</f>
        <v>57.6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IFERROR(__xludf.DUMMYFUNCTION("IMPORTRANGE(""https://docs.google.com/spreadsheets/d/1eHaY18a8A9IcSdp1K8H6x8fbOy06t2VsZHhMHf-1x7Y/edit?usp=sharing"",""แผน!AE88"")"),4)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56000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IFERROR(__xludf.DUMMYFUNCTION("IMPORTRANGE(""https://docs.google.com/spreadsheets/d/1eHaY18a8A9IcSdp1K8H6x8fbOy06t2VsZHhMHf-1x7Y/edit?usp=sharing"",""แผน!AG88"")"),4000)</f>
        <v>4000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IFERROR(__xludf.DUMMYFUNCTION("IMPORTRANGE(""https://docs.google.com/spreadsheets/d/1eHaY18a8A9IcSdp1K8H6x8fbOy06t2VsZHhMHf-1x7Y/edit?usp=sharing"",""แผน!AH88"")"),0)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IFERROR(__xludf.DUMMYFUNCTION("IMPORTRANGE(""https://docs.google.com/spreadsheets/d/1eHaY18a8A9IcSdp1K8H6x8fbOy06t2VsZHhMHf-1x7Y/edit?usp=sharing"",""แผน!AI88"")"),0)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IFERROR(__xludf.DUMMYFUNCTION("IMPORTRANGE(""https://docs.google.com/spreadsheets/d/1eHaY18a8A9IcSdp1K8H6x8fbOy06t2VsZHhMHf-1x7Y/edit?usp=sharing"",""แผน!AJ88"")"),21000)</f>
        <v>21000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IFERROR(__xludf.DUMMYFUNCTION("IMPORTRANGE(""https://docs.google.com/spreadsheets/d/1eHaY18a8A9IcSdp1K8H6x8fbOy06t2VsZHhMHf-1x7Y/edit?usp=sharing"",""แผน!AK88"")"),4)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IFERROR(__xludf.DUMMYFUNCTION("IMPORTRANGE(""https://docs.google.com/spreadsheets/d/1eHaY18a8A9IcSdp1K8H6x8fbOy06t2VsZHhMHf-1x7Y/edit?usp=sharing"",""แผน!AM88"")"),0)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IFERROR(__xludf.DUMMYFUNCTION("IMPORTRANGE(""https://docs.google.com/spreadsheets/d/1eHaY18a8A9IcSdp1K8H6x8fbOy06t2VsZHhMHf-1x7Y/edit?usp=sharing"",""แผน!AN88"")"),0)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IFERROR(__xludf.DUMMYFUNCTION("IMPORTRANGE(""https://docs.google.com/spreadsheets/d/1eHaY18a8A9IcSdp1K8H6x8fbOy06t2VsZHhMHf-1x7Y/edit?usp=sharing"",""แผน!AO88"")"),0)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IFERROR(__xludf.DUMMYFUNCTION("IMPORTRANGE(""https://docs.google.com/spreadsheets/d/1eHaY18a8A9IcSdp1K8H6x8fbOy06t2VsZHhMHf-1x7Y/edit?usp=sharing"",""แผน!LY88"")"),0)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IFERROR(__xludf.DUMMYFUNCTION("IMPORTRANGE(""https://docs.google.com/spreadsheets/d/1eHaY18a8A9IcSdp1K8H6x8fbOy06t2VsZHhMHf-1x7Y/edit?usp=sharing"",""แผน!AP88"")"),0)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IFERROR(__xludf.DUMMYFUNCTION("IMPORTRANGE(""https://docs.google.com/spreadsheets/d/1eHaY18a8A9IcSdp1K8H6x8fbOy06t2VsZHhMHf-1x7Y/edit?usp=sharing"",""แผน!AR88"")"),2500)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IFERROR(__xludf.DUMMYFUNCTION("IMPORTRANGE(""https://docs.google.com/spreadsheets/d/1eHaY18a8A9IcSdp1K8H6x8fbOy06t2VsZHhMHf-1x7Y/edit?usp=sharing"",""แผน!AS88"")"),2000)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IFERROR(__xludf.DUMMYFUNCTION("IMPORTRANGE(""https://docs.google.com/spreadsheets/d/1eHaY18a8A9IcSdp1K8H6x8fbOy06t2VsZHhMHf-1x7Y/edit?usp=sharing"",""แผน!AT88"")"),0)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IFERROR(__xludf.DUMMYFUNCTION("IMPORTRANGE(""https://docs.google.com/spreadsheets/d/1eHaY18a8A9IcSdp1K8H6x8fbOy06t2VsZHhMHf-1x7Y/edit?usp=sharing"",""แผน!AV88"")"),10000)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1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IFERROR(__xludf.DUMMYFUNCTION("IMPORTRANGE(""https://docs.google.com/spreadsheets/d/1eHaY18a8A9IcSdp1K8H6x8fbOy06t2VsZHhMHf-1x7Y/edit?usp=sharing"",""แผน!AX88"")"),0)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IFERROR(__xludf.DUMMYFUNCTION("IMPORTRANGE(""https://docs.google.com/spreadsheets/d/1eHaY18a8A9IcSdp1K8H6x8fbOy06t2VsZHhMHf-1x7Y/edit?usp=sharing"",""แผน!AY88"")"),0)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IFERROR(__xludf.DUMMYFUNCTION("IMPORTRANGE(""https://docs.google.com/spreadsheets/d/1eHaY18a8A9IcSdp1K8H6x8fbOy06t2VsZHhMHf-1x7Y/edit?usp=sharing"",""แผน!AZ88"")"),0)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IFERROR(__xludf.DUMMYFUNCTION("IMPORTRANGE(""https://docs.google.com/spreadsheets/d/1eHaY18a8A9IcSdp1K8H6x8fbOy06t2VsZHhMHf-1x7Y/edit?usp=sharing"",""แผน!BA88"")"),0)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IFERROR(__xludf.DUMMYFUNCTION("IMPORTRANGE(""https://docs.google.com/spreadsheets/d/1eHaY18a8A9IcSdp1K8H6x8fbOy06t2VsZHhMHf-1x7Y/edit?usp=sharing"",""แผน!BG88"")"),0)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IFERROR(__xludf.DUMMYFUNCTION("IMPORTRANGE(""https://docs.google.com/spreadsheets/d/1eHaY18a8A9IcSdp1K8H6x8fbOy06t2VsZHhMHf-1x7Y/edit?usp=sharing"",""แผน!BB88"")"),0)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IFERROR(__xludf.DUMMYFUNCTION("IMPORTRANGE(""https://docs.google.com/spreadsheets/d/1eHaY18a8A9IcSdp1K8H6x8fbOy06t2VsZHhMHf-1x7Y/edit?usp=sharing"",""แผน!BC88"")"),0)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IFERROR(__xludf.DUMMYFUNCTION("IMPORTRANGE(""https://docs.google.com/spreadsheets/d/1eHaY18a8A9IcSdp1K8H6x8fbOy06t2VsZHhMHf-1x7Y/edit?usp=sharing"",""แผน!BD88"")"),0)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IFERROR(__xludf.DUMMYFUNCTION("IMPORTRANGE(""https://docs.google.com/spreadsheets/d/1eHaY18a8A9IcSdp1K8H6x8fbOy06t2VsZHhMHf-1x7Y/edit?usp=sharing"",""แผน!BE88"")"),0)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IFERROR(__xludf.DUMMYFUNCTION("IMPORTRANGE(""https://docs.google.com/spreadsheets/d/1eHaY18a8A9IcSdp1K8H6x8fbOy06t2VsZHhMHf-1x7Y/edit?usp=sharing"",""แผน!BH88"")"),0)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43780</v>
      </c>
      <c r="T266" s="421">
        <f ca="1">IF(Q266&gt;0,S266*100/Q266,0)</f>
        <v>86.419265692854324</v>
      </c>
      <c r="U266" s="421">
        <f ca="1">IF(R266&gt;0,S266*100/R266,0)</f>
        <v>86.419265692854324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43780</v>
      </c>
      <c r="T268" s="331">
        <f ca="1">IF(Q268&gt;0,S268*100/Q268,0)</f>
        <v>86.419265692854324</v>
      </c>
      <c r="U268" s="331">
        <f ca="1">IF(R268&gt;0,S268*100/R268,0)</f>
        <v>86.419265692854324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43780</v>
      </c>
      <c r="T269" s="331">
        <f ca="1">IF(Q269&gt;0,S269*100/Q269,0)</f>
        <v>86.419265692854324</v>
      </c>
      <c r="U269" s="331">
        <f ca="1">IF(R269&gt;0,S269*100/R269,0)</f>
        <v>86.419265692854324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IFERROR(__xludf.DUMMYFUNCTION("IMPORTRANGE(""https://docs.google.com/spreadsheets/d/1-uDff_7J0KD5mKrp0Vvzr7lt3OU09vwQwhkpOPPYv2Y/edit?usp=sharing"",""งบพรบ!DE88"")"),5000)</f>
        <v>5000</v>
      </c>
      <c r="M271" s="331">
        <f ca="1">IFERROR(__xludf.DUMMYFUNCTION("IMPORTRANGE(""https://docs.google.com/spreadsheets/d/1-uDff_7J0KD5mKrp0Vvzr7lt3OU09vwQwhkpOPPYv2Y/edit?usp=sharing"",""งบพรบ!DJ88"")"),5000)</f>
        <v>5000</v>
      </c>
      <c r="N271" s="331">
        <f ca="1">IFERROR(__xludf.DUMMYFUNCTION("IMPORTRANGE(""https://docs.google.com/spreadsheets/d/1-uDff_7J0KD5mKrp0Vvzr7lt3OU09vwQwhkpOPPYv2Y/edit?usp=sharing"",""งบพรบ!DL88"")"),5000)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IFERROR(__xludf.DUMMYFUNCTION("IMPORTRANGE(""https://docs.google.com/spreadsheets/d/1ItG2mGa2ceCfYo0BwxsXqNm01IGEUdYcSSLTEv9YCik/edit?usp=sharing"",""เบิกจ่ายกองทุน!AP88"")"),50660)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IFERROR(__xludf.DUMMYFUNCTION("IMPORTRANGE(""https://docs.google.com/spreadsheets/d/1ItG2mGa2ceCfYo0BwxsXqNm01IGEUdYcSSLTEv9YCik/edit?usp=sharing"",""เบิกจ่ายกองทุน!AQ88"")"),50660)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IFERROR(__xludf.DUMMYFUNCTION("IMPORTRANGE(""https://docs.google.com/spreadsheets/d/1ItG2mGa2ceCfYo0BwxsXqNm01IGEUdYcSSLTEv9YCik/edit?usp=sharing"",""เบิกจ่ายกองทุน!AR88"")"),43780)</f>
        <v>43780</v>
      </c>
      <c r="T271" s="331">
        <f ca="1">IF(Q271&gt;0,S271*100/Q271,0)</f>
        <v>86.419265692854324</v>
      </c>
      <c r="U271" s="331">
        <f ca="1">IF(R271&gt;0,S271*100/R271,0)</f>
        <v>86.419265692854324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IFERROR(__xludf.DUMMYFUNCTION("IMPORTRANGE(""https://docs.google.com/spreadsheets/d/1-uDff_7J0KD5mKrp0Vvzr7lt3OU09vwQwhkpOPPYv2Y/edit?usp=sharing"",""งบพรบ!DH88"")"),0)</f>
        <v>0</v>
      </c>
      <c r="M274" s="331">
        <f ca="1">IFERROR(__xludf.DUMMYFUNCTION("IMPORTRANGE(""https://docs.google.com/spreadsheets/d/1-uDff_7J0KD5mKrp0Vvzr7lt3OU09vwQwhkpOPPYv2Y/edit?usp=sharing"",""งบพรบ!DK88"")"),0)</f>
        <v>0</v>
      </c>
      <c r="N274" s="331">
        <f ca="1">IFERROR(__xludf.DUMMYFUNCTION("IMPORTRANGE(""https://docs.google.com/spreadsheets/d/1-uDff_7J0KD5mKrp0Vvzr7lt3OU09vwQwhkpOPPYv2Y/edit?usp=sharing"",""งบพรบ!DM88"")"),0)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IFERROR(__xludf.DUMMYFUNCTION("IMPORTRANGE(""https://docs.google.com/spreadsheets/d/1eHaY18a8A9IcSdp1K8H6x8fbOy06t2VsZHhMHf-1x7Y/edit?usp=sharing"",""แผน!EC88"")"),22)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>J293</f>
        <v>10</v>
      </c>
      <c r="K280" s="289">
        <f ca="1">IF(I280&gt;0,J280*100/I280,0)</f>
        <v>100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>J292</f>
        <v>100</v>
      </c>
      <c r="K281" s="289">
        <f ca="1">IF(I281&gt;0,J281*100/I281,0)</f>
        <v>100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386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415220</v>
      </c>
      <c r="M282" s="132">
        <f ca="1">M283+M284</f>
        <v>428150</v>
      </c>
      <c r="N282" s="132">
        <f ca="1">N283+N284</f>
        <v>353110.83</v>
      </c>
      <c r="O282" s="132">
        <f ca="1">IF(L282&gt;0,N282*100/L282,0)</f>
        <v>85.041864553730548</v>
      </c>
      <c r="P282" s="132">
        <f ca="1">IF(M282&gt;0,N282*100/M282,0)</f>
        <v>82.473626065631208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415220</v>
      </c>
      <c r="M284" s="47">
        <f ca="1">M287+M290</f>
        <v>428150</v>
      </c>
      <c r="N284" s="47">
        <f ca="1">N287+N290</f>
        <v>353110.83</v>
      </c>
      <c r="O284" s="47">
        <f ca="1">IF(L284&gt;0,N284*100/L284,0)</f>
        <v>85.041864553730548</v>
      </c>
      <c r="P284" s="47">
        <f ca="1">IF(M284&gt;0,N284*100/M284,0)</f>
        <v>82.473626065631208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415220</v>
      </c>
      <c r="M285" s="47">
        <f ca="1">M286+M287</f>
        <v>428150</v>
      </c>
      <c r="N285" s="47">
        <f ca="1">N286+N287</f>
        <v>353110.83</v>
      </c>
      <c r="O285" s="47">
        <f ca="1">IF(L285&gt;0,N285*100/L285,0)</f>
        <v>85.041864553730548</v>
      </c>
      <c r="P285" s="47">
        <f ca="1">IF(M285&gt;0,N285*100/M285,0)</f>
        <v>82.473626065631208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IFERROR(__xludf.DUMMYFUNCTION("IMPORTRANGE(""https://docs.google.com/spreadsheets/d/1-uDff_7J0KD5mKrp0Vvzr7lt3OU09vwQwhkpOPPYv2Y/edit?usp=sharing"",""งบพรบ!DO88"")"),415220)</f>
        <v>415220</v>
      </c>
      <c r="M287" s="47">
        <f ca="1">IFERROR(__xludf.DUMMYFUNCTION("IMPORTRANGE(""https://docs.google.com/spreadsheets/d/1-uDff_7J0KD5mKrp0Vvzr7lt3OU09vwQwhkpOPPYv2Y/edit?usp=sharing"",""งบพรบ!DT88"")"),428150)</f>
        <v>428150</v>
      </c>
      <c r="N287" s="47">
        <f ca="1">IFERROR(__xludf.DUMMYFUNCTION("IMPORTRANGE(""https://docs.google.com/spreadsheets/d/1-uDff_7J0KD5mKrp0Vvzr7lt3OU09vwQwhkpOPPYv2Y/edit?usp=sharing"",""งบพรบ!DV88"")"),353110.83)</f>
        <v>353110.83</v>
      </c>
      <c r="O287" s="47">
        <f ca="1">IF(L287&gt;0,N287*100/L287,0)</f>
        <v>85.041864553730548</v>
      </c>
      <c r="P287" s="47">
        <f ca="1">IF(M287&gt;0,N287*100/M287,0)</f>
        <v>82.473626065631208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386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IFERROR(__xludf.DUMMYFUNCTION("IMPORTRANGE(""https://docs.google.com/spreadsheets/d/1eHaY18a8A9IcSdp1K8H6x8fbOy06t2VsZHhMHf-1x7Y/edit?usp=sharing"",""แผน!EE88"")"),100)</f>
        <v>100</v>
      </c>
      <c r="J292" s="167">
        <v>100</v>
      </c>
      <c r="K292" s="153">
        <f ca="1">IF(I292&gt;0,J292*100/I292,0)</f>
        <v>100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IFERROR(__xludf.DUMMYFUNCTION("IMPORTRANGE(""https://docs.google.com/spreadsheets/d/1eHaY18a8A9IcSdp1K8H6x8fbOy06t2VsZHhMHf-1x7Y/edit?usp=sharing"",""แผน!ED88"")"),10)</f>
        <v>10</v>
      </c>
      <c r="J293" s="147">
        <f>J296</f>
        <v>10</v>
      </c>
      <c r="K293" s="148">
        <f ca="1">IF(I293&gt;0,J293*100/I293,0)</f>
        <v>100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IFERROR(__xludf.DUMMYFUNCTION("IMPORTRANGE(""https://docs.google.com/spreadsheets/d/1eHaY18a8A9IcSdp1K8H6x8fbOy06t2VsZHhMHf-1x7Y/edit?usp=sharing"",""แผน!ED88"")"),10)</f>
        <v>10</v>
      </c>
      <c r="J295" s="167">
        <v>10</v>
      </c>
      <c r="K295" s="153">
        <f ca="1">IF(I295&gt;0,J295*100/I295,0)</f>
        <v>100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20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264500</v>
      </c>
      <c r="M303" s="132">
        <f ca="1">M304+M305</f>
        <v>264500</v>
      </c>
      <c r="N303" s="132">
        <f ca="1">N304+N305</f>
        <v>203133.35</v>
      </c>
      <c r="O303" s="132">
        <f ca="1">IF(L303&gt;0,N303*100/L303,0)</f>
        <v>76.798998109640834</v>
      </c>
      <c r="P303" s="132">
        <f ca="1">IF(M303&gt;0,N303*100/M303,0)</f>
        <v>76.798998109640834</v>
      </c>
      <c r="Q303" s="132">
        <f ca="1">Q304+Q305</f>
        <v>144609.24</v>
      </c>
      <c r="R303" s="132">
        <f ca="1">R304+R305</f>
        <v>144609</v>
      </c>
      <c r="S303" s="132">
        <f ca="1">S304+S305</f>
        <v>114045</v>
      </c>
      <c r="T303" s="132">
        <f ca="1">IF(Q303&gt;0,S303*100/Q303,0)</f>
        <v>78.864255147181467</v>
      </c>
      <c r="U303" s="132">
        <f ca="1">IF(R303&gt;0,S303*100/R303,0)</f>
        <v>78.864386034064268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264500</v>
      </c>
      <c r="M305" s="47">
        <f ca="1">M308+M311</f>
        <v>264500</v>
      </c>
      <c r="N305" s="47">
        <f ca="1">N308+N311</f>
        <v>203133.35</v>
      </c>
      <c r="O305" s="47">
        <f ca="1">IF(L305&gt;0,N305*100/L305,0)</f>
        <v>76.798998109640834</v>
      </c>
      <c r="P305" s="47">
        <f ca="1">IF(M305&gt;0,N305*100/M305,0)</f>
        <v>76.798998109640834</v>
      </c>
      <c r="Q305" s="47">
        <f ca="1">Q308+Q311</f>
        <v>144609.24</v>
      </c>
      <c r="R305" s="47">
        <f ca="1">R308+R311</f>
        <v>144609</v>
      </c>
      <c r="S305" s="47">
        <f ca="1">S308+S311</f>
        <v>114045</v>
      </c>
      <c r="T305" s="47">
        <f ca="1">IF(Q305&gt;0,S305*100/Q305,0)</f>
        <v>78.864255147181467</v>
      </c>
      <c r="U305" s="47">
        <f ca="1">IF(R305&gt;0,S305*100/R305,0)</f>
        <v>78.864386034064268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264500</v>
      </c>
      <c r="M306" s="47">
        <f ca="1">M307+M308</f>
        <v>264500</v>
      </c>
      <c r="N306" s="47">
        <f ca="1">N307+N308</f>
        <v>203133.35</v>
      </c>
      <c r="O306" s="47">
        <f ca="1">IF(L306&gt;0,N306*100/L306,0)</f>
        <v>76.798998109640834</v>
      </c>
      <c r="P306" s="47">
        <f ca="1">IF(M306&gt;0,N306*100/M306,0)</f>
        <v>76.798998109640834</v>
      </c>
      <c r="Q306" s="47">
        <f ca="1">Q307+Q308</f>
        <v>144609.24</v>
      </c>
      <c r="R306" s="47">
        <f ca="1">R307+R308</f>
        <v>144609</v>
      </c>
      <c r="S306" s="47">
        <f ca="1">S307+S308</f>
        <v>114045</v>
      </c>
      <c r="T306" s="47">
        <f ca="1">IF(Q306&gt;0,S306*100/Q306,0)</f>
        <v>78.864255147181467</v>
      </c>
      <c r="U306" s="47">
        <f ca="1">IF(R306&gt;0,S306*100/R306,0)</f>
        <v>78.864386034064268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IFERROR(__xludf.DUMMYFUNCTION("IMPORTRANGE(""https://docs.google.com/spreadsheets/d/1-uDff_7J0KD5mKrp0Vvzr7lt3OU09vwQwhkpOPPYv2Y/edit?usp=sharing"",""งบพรบ!DY88"")"),264500)</f>
        <v>264500</v>
      </c>
      <c r="M308" s="47">
        <f ca="1">IFERROR(__xludf.DUMMYFUNCTION("IMPORTRANGE(""https://docs.google.com/spreadsheets/d/1-uDff_7J0KD5mKrp0Vvzr7lt3OU09vwQwhkpOPPYv2Y/edit?usp=sharing"",""งบพรบ!ED88"")"),264500)</f>
        <v>264500</v>
      </c>
      <c r="N308" s="47">
        <f ca="1">IFERROR(__xludf.DUMMYFUNCTION("IMPORTRANGE(""https://docs.google.com/spreadsheets/d/1-uDff_7J0KD5mKrp0Vvzr7lt3OU09vwQwhkpOPPYv2Y/edit?usp=sharing"",""งบพรบ!EF88"")"),203133.35)</f>
        <v>203133.35</v>
      </c>
      <c r="O308" s="47">
        <f ca="1">IF(L308&gt;0,N308*100/L308,0)</f>
        <v>76.798998109640834</v>
      </c>
      <c r="P308" s="47">
        <f ca="1">IF(M308&gt;0,N308*100/M308,0)</f>
        <v>76.798998109640834</v>
      </c>
      <c r="Q308" s="47">
        <f ca="1">IFERROR(__xludf.DUMMYFUNCTION("IMPORTRANGE(""https://docs.google.com/spreadsheets/d/1ItG2mGa2ceCfYo0BwxsXqNm01IGEUdYcSSLTEv9YCik/edit?usp=sharing"",""เบิกจ่ายกองทุน!BB88"")"),144609.24)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IFERROR(__xludf.DUMMYFUNCTION("IMPORTRANGE(""https://docs.google.com/spreadsheets/d/1ItG2mGa2ceCfYo0BwxsXqNm01IGEUdYcSSLTEv9YCik/edit?usp=sharing"",""เบิกจ่ายกองทุน!BC88"")"),144609)</f>
        <v>144609</v>
      </c>
      <c r="S308" s="47">
        <f ca="1">IFERROR(__xludf.DUMMYFUNCTION("IMPORTRANGE(""https://docs.google.com/spreadsheets/d/1ItG2mGa2ceCfYo0BwxsXqNm01IGEUdYcSSLTEv9YCik/edit?usp=sharing"",""เบิกจ่ายกองทุน!BD88"")"),114045)</f>
        <v>114045</v>
      </c>
      <c r="T308" s="47">
        <f ca="1">IF(Q308&gt;0,S308*100/Q308,0)</f>
        <v>78.864255147181467</v>
      </c>
      <c r="U308" s="47">
        <f ca="1">IF(R308&gt;0,S308*100/R308,0)</f>
        <v>78.864386034064268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IFERROR(__xludf.DUMMYFUNCTION("IMPORTRANGE(""https://docs.google.com/spreadsheets/d/1eHaY18a8A9IcSdp1K8H6x8fbOy06t2VsZHhMHf-1x7Y/edit?usp=sharing"",""แผน!EF88"")"),20)</f>
        <v>20</v>
      </c>
      <c r="J314" s="167">
        <v>20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79234.33</v>
      </c>
      <c r="O320" s="132">
        <f ca="1">IF(L320&gt;0,N320*100/L320,0)</f>
        <v>63.387464000000001</v>
      </c>
      <c r="P320" s="132">
        <f ca="1">IF(M320&gt;0,N320*100/M320,0)</f>
        <v>63.387464000000001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79234.33</v>
      </c>
      <c r="O322" s="47">
        <f ca="1">IF(L322&gt;0,N322*100/L322,0)</f>
        <v>63.387464000000001</v>
      </c>
      <c r="P322" s="47">
        <f ca="1">IF(M322&gt;0,N322*100/M322,0)</f>
        <v>63.387464000000001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79234.33</v>
      </c>
      <c r="O323" s="47">
        <f ca="1">IF(L323&gt;0,N323*100/L323,0)</f>
        <v>63.387464000000001</v>
      </c>
      <c r="P323" s="47">
        <f ca="1">IF(M323&gt;0,N323*100/M323,0)</f>
        <v>63.387464000000001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IFERROR(__xludf.DUMMYFUNCTION("IMPORTRANGE(""https://docs.google.com/spreadsheets/d/1-uDff_7J0KD5mKrp0Vvzr7lt3OU09vwQwhkpOPPYv2Y/edit?usp=sharing"",""งบพรบ!EI88"")"),125000)</f>
        <v>125000</v>
      </c>
      <c r="M325" s="47">
        <f ca="1">IFERROR(__xludf.DUMMYFUNCTION("IMPORTRANGE(""https://docs.google.com/spreadsheets/d/1-uDff_7J0KD5mKrp0Vvzr7lt3OU09vwQwhkpOPPYv2Y/edit?usp=sharing"",""งบพรบ!EN88"")"),125000)</f>
        <v>125000</v>
      </c>
      <c r="N325" s="47">
        <f ca="1">IFERROR(__xludf.DUMMYFUNCTION("IMPORTRANGE(""https://docs.google.com/spreadsheets/d/1-uDff_7J0KD5mKrp0Vvzr7lt3OU09vwQwhkpOPPYv2Y/edit?usp=sharing"",""งบพรบ!EP88"")"),79234.33)</f>
        <v>79234.33</v>
      </c>
      <c r="O325" s="47">
        <f ca="1">IF(L325&gt;0,N325*100/L325,0)</f>
        <v>63.387464000000001</v>
      </c>
      <c r="P325" s="47">
        <f ca="1">IF(M325&gt;0,N325*100/M325,0)</f>
        <v>63.387464000000001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IFERROR(__xludf.DUMMYFUNCTION("IMPORTRANGE(""https://docs.google.com/spreadsheets/d/1eHaY18a8A9IcSdp1K8H6x8fbOy06t2VsZHhMHf-1x7Y/edit?usp=sharing"",""แผน!EJ88"")"),1)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3200</v>
      </c>
      <c r="J332" s="697">
        <f ca="1">J344+J347+J348+J349+J353</f>
        <v>15568</v>
      </c>
      <c r="K332" s="696">
        <f ca="1">IF(I332&gt;0,J332*100/I332,0)</f>
        <v>486.5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194000</v>
      </c>
      <c r="M333" s="132">
        <f ca="1">M334+M335</f>
        <v>194000</v>
      </c>
      <c r="N333" s="132">
        <f ca="1">N334+N335</f>
        <v>130193.34</v>
      </c>
      <c r="O333" s="132">
        <f ca="1">IF(L333&gt;0,N333*100/L333,0)</f>
        <v>67.109969072164944</v>
      </c>
      <c r="P333" s="132">
        <f ca="1">IF(M333&gt;0,N333*100/M333,0)</f>
        <v>67.109969072164944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194000</v>
      </c>
      <c r="M335" s="47">
        <f ca="1">M338+M341</f>
        <v>194000</v>
      </c>
      <c r="N335" s="47">
        <f ca="1">N338+N341</f>
        <v>130193.34</v>
      </c>
      <c r="O335" s="47">
        <f ca="1">IF(L335&gt;0,N335*100/L335,0)</f>
        <v>67.109969072164944</v>
      </c>
      <c r="P335" s="47">
        <f ca="1">IF(M335&gt;0,N335*100/M335,0)</f>
        <v>67.109969072164944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194000</v>
      </c>
      <c r="M336" s="47">
        <f ca="1">M337+M338</f>
        <v>194000</v>
      </c>
      <c r="N336" s="47">
        <f ca="1">N337+N338</f>
        <v>130193.34</v>
      </c>
      <c r="O336" s="47">
        <f ca="1">IF(L336&gt;0,N336*100/L336,0)</f>
        <v>67.109969072164944</v>
      </c>
      <c r="P336" s="47">
        <f ca="1">IF(M336&gt;0,N336*100/M336,0)</f>
        <v>67.109969072164944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IFERROR(__xludf.DUMMYFUNCTION("IMPORTRANGE(""https://docs.google.com/spreadsheets/d/1-uDff_7J0KD5mKrp0Vvzr7lt3OU09vwQwhkpOPPYv2Y/edit?usp=sharing"",""งบพรบ!ES88"")"),194000)</f>
        <v>194000</v>
      </c>
      <c r="M338" s="47">
        <f ca="1">IFERROR(__xludf.DUMMYFUNCTION("IMPORTRANGE(""https://docs.google.com/spreadsheets/d/1-uDff_7J0KD5mKrp0Vvzr7lt3OU09vwQwhkpOPPYv2Y/edit?usp=sharing"",""งบพรบ!EX88"")"),194000)</f>
        <v>194000</v>
      </c>
      <c r="N338" s="47">
        <f ca="1">IFERROR(__xludf.DUMMYFUNCTION("IMPORTRANGE(""https://docs.google.com/spreadsheets/d/1-uDff_7J0KD5mKrp0Vvzr7lt3OU09vwQwhkpOPPYv2Y/edit?usp=sharing"",""งบพรบ!EZ88"")"),130193.34)</f>
        <v>130193.34</v>
      </c>
      <c r="O338" s="47">
        <f ca="1">IF(L338&gt;0,N338*100/L338,0)</f>
        <v>67.109969072164944</v>
      </c>
      <c r="P338" s="47">
        <f ca="1">IF(M338&gt;0,N338*100/M338,0)</f>
        <v>67.109969072164944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7814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IFERROR(__xludf.DUMMYFUNCTION("IMPORTRANGE(""https://docs.google.com/spreadsheets/d/1eHaY18a8A9IcSdp1K8H6x8fbOy06t2VsZHhMHf-1x7Y/edit?usp=sharing"",""แผน!EK88"")"),3200)</f>
        <v>3200</v>
      </c>
      <c r="J344" s="152">
        <f ca="1">IFERROR(__xludf.DUMMYFUNCTION("IMPORTRANGE(""https://docs.google.com/spreadsheets/d/1awYsYK3VOup2i3Pq_Yjnu8DRu_mYwSBnCR2QPthd0rU/edit?usp=sharing"",""ศูนย์ยกเว้นโฉนด!D88"")"),7679)</f>
        <v>7679</v>
      </c>
      <c r="K344" s="47">
        <f ca="1">IF(I344&gt;0,J344*100/I344,0)</f>
        <v>239.96875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IFERROR(__xludf.DUMMYFUNCTION("IMPORTRANGE(""https://docs.google.com/spreadsheets/d/1eHaY18a8A9IcSdp1K8H6x8fbOy06t2VsZHhMHf-1x7Y/edit?usp=sharing"",""แผน!EL88"")"),5)</f>
        <v>5</v>
      </c>
      <c r="J346" s="152">
        <f ca="1">IFERROR(__xludf.DUMMYFUNCTION("IMPORTRANGE(""https://docs.google.com/spreadsheets/d/1awYsYK3VOup2i3Pq_Yjnu8DRu_mYwSBnCR2QPthd0rU/edit?usp=sharing"",""ศูนย์รวม!E88"")"),8)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IFERROR(__xludf.DUMMYFUNCTION("IMPORTRANGE(""https://docs.google.com/spreadsheets/d/1awYsYK3VOup2i3Pq_Yjnu8DRu_mYwSBnCR2QPthd0rU/edit?usp=sharing"",""ศูนย์ยกเว้นโฉนด!G88"")"),3)</f>
        <v>3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10142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IFERROR(__xludf.DUMMYFUNCTION("IMPORTRANGE(""https://docs.google.com/spreadsheets/d/1awYsYK3VOup2i3Pq_Yjnu8DRu_mYwSBnCR2QPthd0rU/edit?usp=sharing"",""โฉนดM3!G88"")"),2388)</f>
        <v>2388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IFERROR(__xludf.DUMMYFUNCTION("IMPORTRANGE(""https://docs.google.com/spreadsheets/d/1awYsYK3VOup2i3Pq_Yjnu8DRu_mYwSBnCR2QPthd0rU/edit?usp=sharing"",""โฉนดM3!H88"")"),7754)</f>
        <v>7754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1057580</v>
      </c>
      <c r="M356" s="132">
        <f ca="1">M357+M358</f>
        <v>1169280</v>
      </c>
      <c r="N356" s="132">
        <f ca="1">N357+N358</f>
        <v>889318.37</v>
      </c>
      <c r="O356" s="132">
        <f ca="1">IF(L356&gt;0,N356*100/L356,0)</f>
        <v>84.089938349817501</v>
      </c>
      <c r="P356" s="132">
        <f ca="1">IF(M356&gt;0,N356*100/M356,0)</f>
        <v>76.056921353311438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1057580</v>
      </c>
      <c r="M358" s="47">
        <f ca="1">M361+M364</f>
        <v>1169280</v>
      </c>
      <c r="N358" s="47">
        <f ca="1">N361+N364</f>
        <v>889318.37</v>
      </c>
      <c r="O358" s="47">
        <f ca="1">IF(L358&gt;0,N358*100/L358,0)</f>
        <v>84.089938349817501</v>
      </c>
      <c r="P358" s="47">
        <f ca="1">IF(M358&gt;0,N358*100/M358,0)</f>
        <v>76.056921353311438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1057580</v>
      </c>
      <c r="M359" s="47">
        <f ca="1">M360+M361</f>
        <v>1169280</v>
      </c>
      <c r="N359" s="47">
        <f ca="1">N360+N361</f>
        <v>889318.37</v>
      </c>
      <c r="O359" s="47">
        <f ca="1">IF(L359&gt;0,N359*100/L359,0)</f>
        <v>84.089938349817501</v>
      </c>
      <c r="P359" s="47">
        <f ca="1">IF(M359&gt;0,N359*100/M359,0)</f>
        <v>76.056921353311438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IFERROR(__xludf.DUMMYFUNCTION("IMPORTRANGE(""https://docs.google.com/spreadsheets/d/1-uDff_7J0KD5mKrp0Vvzr7lt3OU09vwQwhkpOPPYv2Y/edit?usp=sharing"",""งบพรบ!FC88"")"),1057580)</f>
        <v>1057580</v>
      </c>
      <c r="M361" s="47">
        <f ca="1">IFERROR(__xludf.DUMMYFUNCTION("IMPORTRANGE(""https://docs.google.com/spreadsheets/d/1-uDff_7J0KD5mKrp0Vvzr7lt3OU09vwQwhkpOPPYv2Y/edit?usp=sharing"",""งบพรบ!FH88"")"),1169280)</f>
        <v>1169280</v>
      </c>
      <c r="N361" s="47">
        <f ca="1">IFERROR(__xludf.DUMMYFUNCTION("IMPORTRANGE(""https://docs.google.com/spreadsheets/d/1-uDff_7J0KD5mKrp0Vvzr7lt3OU09vwQwhkpOPPYv2Y/edit?usp=sharing"",""งบพรบ!FJ88"")"),889318.37)</f>
        <v>889318.37</v>
      </c>
      <c r="O361" s="47">
        <f ca="1">IF(L361&gt;0,N361*100/L361,0)</f>
        <v>84.089938349817501</v>
      </c>
      <c r="P361" s="47">
        <f ca="1">IF(M361&gt;0,N361*100/M361,0)</f>
        <v>76.056921353311438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1286</v>
      </c>
      <c r="J365" s="228">
        <f ca="1">J371</f>
        <v>1158</v>
      </c>
      <c r="K365" s="229">
        <f ca="1">IF(I365&gt;0,J365*100/I365,0)</f>
        <v>90.046656298600311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IFERROR(__xludf.DUMMYFUNCTION("IMPORTRANGE(""https://docs.google.com/spreadsheets/d/1tdoBKaGub7dwA3U6UFTqxio9LNnvDCQjHKmttSEBsFQ/edit?usp=sharing"",""จัดที่ดิน!AB88"")"),546)</f>
        <v>546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IFERROR(__xludf.DUMMYFUNCTION("IMPORTRANGE(""https://docs.google.com/spreadsheets/d/1eHaY18a8A9IcSdp1K8H6x8fbOy06t2VsZHhMHf-1x7Y/edit?usp=sharing"",""แผน!EW88"")"),3600)</f>
        <v>3600</v>
      </c>
      <c r="J368" s="685">
        <f ca="1">IFERROR(__xludf.DUMMYFUNCTION("IMPORTRANGE(""https://docs.google.com/spreadsheets/d/1tdoBKaGub7dwA3U6UFTqxio9LNnvDCQjHKmttSEBsFQ/edit?usp=sharing"",""จัดที่ดิน!AC88"")"),6042.49)</f>
        <v>6042.49</v>
      </c>
      <c r="K368" s="47">
        <f ca="1">IF(I368&gt;0,J368*100/I368,0)</f>
        <v>167.84694444444443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IFERROR(__xludf.DUMMYFUNCTION("IMPORTRANGE(""https://docs.google.com/spreadsheets/d/1eHaY18a8A9IcSdp1K8H6x8fbOy06t2VsZHhMHf-1x7Y/edit?usp=sharing"",""แผน!EX88"")"),1286)</f>
        <v>1286</v>
      </c>
      <c r="J369" s="152">
        <f ca="1">IFERROR(__xludf.DUMMYFUNCTION("IMPORTRANGE(""https://docs.google.com/spreadsheets/d/1tdoBKaGub7dwA3U6UFTqxio9LNnvDCQjHKmttSEBsFQ/edit?usp=sharing"",""จัดที่ดิน!AD88"")"),1274)</f>
        <v>1274</v>
      </c>
      <c r="K369" s="47">
        <f ca="1">IF(I369&gt;0,J369*100/I369,0)</f>
        <v>99.066874027993777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IFERROR(__xludf.DUMMYFUNCTION("IMPORTRANGE(""https://docs.google.com/spreadsheets/d/1tdoBKaGub7dwA3U6UFTqxio9LNnvDCQjHKmttSEBsFQ/edit?usp=sharing"",""จัดที่ดิน!AE88"")"),18227.28)</f>
        <v>18227.28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IFERROR(__xludf.DUMMYFUNCTION("IMPORTRANGE(""https://docs.google.com/spreadsheets/d/1eHaY18a8A9IcSdp1K8H6x8fbOy06t2VsZHhMHf-1x7Y/edit?usp=sharing"",""แผน!EY88"")"),1286)</f>
        <v>1286</v>
      </c>
      <c r="J371" s="152">
        <f ca="1">IFERROR(__xludf.DUMMYFUNCTION("IMPORTRANGE(""https://docs.google.com/spreadsheets/d/1tdoBKaGub7dwA3U6UFTqxio9LNnvDCQjHKmttSEBsFQ/edit?usp=sharing"",""จัดที่ดิน!AF88"")"),1158)</f>
        <v>1158</v>
      </c>
      <c r="K371" s="47">
        <f ca="1">IF(I371&gt;0,J371*100/I371,0)</f>
        <v>90.046656298600311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IFERROR(__xludf.DUMMYFUNCTION("IMPORTRANGE(""https://docs.google.com/spreadsheets/d/1tdoBKaGub7dwA3U6UFTqxio9LNnvDCQjHKmttSEBsFQ/edit?usp=sharing"",""จัดที่ดิน!AG88"")"),17298.23)</f>
        <v>17298.23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61791.8</v>
      </c>
      <c r="T375" s="132">
        <f ca="1">IF(Q375&gt;0,S375*100/Q375,0)</f>
        <v>98.866879999999995</v>
      </c>
      <c r="U375" s="132">
        <f ca="1">IF(R375&gt;0,S375*100/R375,0)</f>
        <v>98.866879999999995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61791.8</v>
      </c>
      <c r="T377" s="47">
        <f ca="1">IF(Q377&gt;0,S377*100/Q377,0)</f>
        <v>98.866879999999995</v>
      </c>
      <c r="U377" s="47">
        <f ca="1">IF(R377&gt;0,S377*100/R377,0)</f>
        <v>98.866879999999995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61791.8</v>
      </c>
      <c r="T378" s="47">
        <f ca="1">IF(Q378&gt;0,S378*100/Q378,0)</f>
        <v>98.866879999999995</v>
      </c>
      <c r="U378" s="47">
        <f ca="1">IF(R378&gt;0,S378*100/R378,0)</f>
        <v>98.866879999999995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IFERROR(__xludf.DUMMYFUNCTION("IMPORTRANGE(""https://docs.google.com/spreadsheets/d/1-uDff_7J0KD5mKrp0Vvzr7lt3OU09vwQwhkpOPPYv2Y/edit?usp=sharing"",""งบพรบ!IE88"")"),0)</f>
        <v>0</v>
      </c>
      <c r="M380" s="47">
        <f ca="1">IFERROR(__xludf.DUMMYFUNCTION("IMPORTRANGE(""https://docs.google.com/spreadsheets/d/1-uDff_7J0KD5mKrp0Vvzr7lt3OU09vwQwhkpOPPYv2Y/edit?usp=sharing"",""งบพรบ!IJ88"")"),0)</f>
        <v>0</v>
      </c>
      <c r="N380" s="47">
        <f ca="1">IFERROR(__xludf.DUMMYFUNCTION("IMPORTRANGE(""https://docs.google.com/spreadsheets/d/1-uDff_7J0KD5mKrp0Vvzr7lt3OU09vwQwhkpOPPYv2Y/edit?usp=sharing"",""งบพรบ!IL88"")"),0)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IFERROR(__xludf.DUMMYFUNCTION("IMPORTRANGE(""https://docs.google.com/spreadsheets/d/1ItG2mGa2ceCfYo0BwxsXqNm01IGEUdYcSSLTEv9YCik/edit?usp=sharing"",""เบิกจ่ายกองทุน!BY88"")"),61791.8)</f>
        <v>61791.8</v>
      </c>
      <c r="T380" s="47">
        <f ca="1">IF(Q380&gt;0,S380*100/Q380,0)</f>
        <v>98.866879999999995</v>
      </c>
      <c r="U380" s="47">
        <f ca="1">IF(R380&gt;0,S380*100/R380,0)</f>
        <v>98.866879999999995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IFERROR(__xludf.DUMMYFUNCTION("IMPORTRANGE(""https://docs.google.com/spreadsheets/d/1-uDff_7J0KD5mKrp0Vvzr7lt3OU09vwQwhkpOPPYv2Y/edit?usp=sharing"",""งบพรบ!IH88"")"),0)</f>
        <v>0</v>
      </c>
      <c r="M383" s="47">
        <f ca="1">IFERROR(__xludf.DUMMYFUNCTION("IMPORTRANGE(""https://docs.google.com/spreadsheets/d/1-uDff_7J0KD5mKrp0Vvzr7lt3OU09vwQwhkpOPPYv2Y/edit?usp=sharing"",""งบพรบ!IK88"")"),0)</f>
        <v>0</v>
      </c>
      <c r="N383" s="47">
        <f ca="1">IFERROR(__xludf.DUMMYFUNCTION("IMPORTRANGE(""https://docs.google.com/spreadsheets/d/1-uDff_7J0KD5mKrp0Vvzr7lt3OU09vwQwhkpOPPYv2Y/edit?usp=sharing"",""งบพรบ!IM88"")"),0)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IFERROR(__xludf.DUMMYFUNCTION("IMPORTRANGE(""https://docs.google.com/spreadsheets/d/1w5rwWK1o49a35cNtocGL0gxDwhFSTZUQu90BiH9_zqM/edit?usp=sharing"",""RTK!G88"")"),1000)</f>
        <v>1000</v>
      </c>
      <c r="J386" s="152">
        <f ca="1">IFERROR(__xludf.DUMMYFUNCTION("IMPORTRANGE(""https://docs.google.com/spreadsheets/d/1w5rwWK1o49a35cNtocGL0gxDwhFSTZUQu90BiH9_zqM/edit?usp=sharing"",""RTK!I88"")"),0)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IFERROR(__xludf.DUMMYFUNCTION("IMPORTRANGE(""https://docs.google.com/spreadsheets/d/1w5rwWK1o49a35cNtocGL0gxDwhFSTZUQu90BiH9_zqM/edit?usp=sharing"",""RTK!K88"")"),0)</f>
        <v>0</v>
      </c>
      <c r="J388" s="330">
        <f ca="1">IFERROR(__xludf.DUMMYFUNCTION("IMPORTRANGE(""https://docs.google.com/spreadsheets/d/1w5rwWK1o49a35cNtocGL0gxDwhFSTZUQu90BiH9_zqM/edit?usp=sharing"",""RTK!M88"")"),0)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161615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787830</v>
      </c>
      <c r="M413" s="132">
        <f ca="1">M414+M415</f>
        <v>1171325</v>
      </c>
      <c r="N413" s="132">
        <f ca="1">N414+N415</f>
        <v>512212.43</v>
      </c>
      <c r="O413" s="132">
        <f ca="1">IF(L413&gt;0,N413*100/L413,0)</f>
        <v>65.015603620070323</v>
      </c>
      <c r="P413" s="132">
        <f ca="1">IF(M413&gt;0,N413*100/M413,0)</f>
        <v>43.729317653085182</v>
      </c>
      <c r="Q413" s="132">
        <f ca="1">Q414+Q415</f>
        <v>77750</v>
      </c>
      <c r="R413" s="132">
        <f ca="1">R414+R415</f>
        <v>77750</v>
      </c>
      <c r="S413" s="132">
        <f ca="1">S414+S415</f>
        <v>15000</v>
      </c>
      <c r="T413" s="132">
        <f ca="1">IF(Q413&gt;0,S413*100/Q413,0)</f>
        <v>19.292604501607716</v>
      </c>
      <c r="U413" s="132">
        <f ca="1">IF(R413&gt;0,S413*100/R413,0)</f>
        <v>19.292604501607716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787830</v>
      </c>
      <c r="M415" s="47">
        <f ca="1">M418+M421</f>
        <v>1171325</v>
      </c>
      <c r="N415" s="47">
        <f ca="1">N418+N421</f>
        <v>512212.43</v>
      </c>
      <c r="O415" s="47">
        <f ca="1">IF(L415&gt;0,N415*100/L415,0)</f>
        <v>65.015603620070323</v>
      </c>
      <c r="P415" s="47">
        <f ca="1">IF(M415&gt;0,N415*100/M415,0)</f>
        <v>43.729317653085182</v>
      </c>
      <c r="Q415" s="47">
        <f ca="1">Q418+Q421</f>
        <v>77750</v>
      </c>
      <c r="R415" s="47">
        <f ca="1">R418+R421</f>
        <v>77750</v>
      </c>
      <c r="S415" s="47">
        <f ca="1">S418+S421</f>
        <v>15000</v>
      </c>
      <c r="T415" s="47">
        <f ca="1">IF(Q415&gt;0,S415*100/Q415,0)</f>
        <v>19.292604501607716</v>
      </c>
      <c r="U415" s="47">
        <f ca="1">IF(R415&gt;0,S415*100/R415,0)</f>
        <v>19.292604501607716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787830</v>
      </c>
      <c r="M416" s="47">
        <f ca="1">M417+M418</f>
        <v>1171325</v>
      </c>
      <c r="N416" s="47">
        <f ca="1">N417+N418</f>
        <v>512212.43</v>
      </c>
      <c r="O416" s="47">
        <f ca="1">IF(L416&gt;0,N416*100/L416,0)</f>
        <v>65.015603620070323</v>
      </c>
      <c r="P416" s="47">
        <f ca="1">IF(M416&gt;0,N416*100/M416,0)</f>
        <v>43.729317653085182</v>
      </c>
      <c r="Q416" s="47">
        <f ca="1">Q417+Q418</f>
        <v>77750</v>
      </c>
      <c r="R416" s="47">
        <f ca="1">R417+R418</f>
        <v>77750</v>
      </c>
      <c r="S416" s="47">
        <f ca="1">S417+S418</f>
        <v>15000</v>
      </c>
      <c r="T416" s="47">
        <f ca="1">IF(Q416&gt;0,S416*100/Q416,0)</f>
        <v>19.292604501607716</v>
      </c>
      <c r="U416" s="47">
        <f ca="1">IF(R416&gt;0,S416*100/R416,0)</f>
        <v>19.292604501607716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IFERROR(__xludf.DUMMYFUNCTION("IMPORTRANGE(""https://docs.google.com/spreadsheets/d/1-uDff_7J0KD5mKrp0Vvzr7lt3OU09vwQwhkpOPPYv2Y/edit?usp=sharing"",""งบพรบ!IO88"")"),787830)</f>
        <v>787830</v>
      </c>
      <c r="M418" s="47">
        <f ca="1">IFERROR(__xludf.DUMMYFUNCTION("IMPORTRANGE(""https://docs.google.com/spreadsheets/d/1-uDff_7J0KD5mKrp0Vvzr7lt3OU09vwQwhkpOPPYv2Y/edit?usp=sharing"",""งบพรบ!IT88"")"),1171325)</f>
        <v>1171325</v>
      </c>
      <c r="N418" s="47">
        <f ca="1">IFERROR(__xludf.DUMMYFUNCTION("IMPORTRANGE(""https://docs.google.com/spreadsheets/d/1-uDff_7J0KD5mKrp0Vvzr7lt3OU09vwQwhkpOPPYv2Y/edit?usp=sharing"",""งบพรบ!IV88"")"),512212.43)</f>
        <v>512212.43</v>
      </c>
      <c r="O418" s="47">
        <f ca="1">IF(L418&gt;0,N418*100/L418,0)</f>
        <v>65.015603620070323</v>
      </c>
      <c r="P418" s="47">
        <f ca="1">IF(M418&gt;0,N418*100/M418,0)</f>
        <v>43.729317653085182</v>
      </c>
      <c r="Q418" s="47">
        <f ca="1">IFERROR(__xludf.DUMMYFUNCTION("IMPORTRANGE(""https://docs.google.com/spreadsheets/d/1ItG2mGa2ceCfYo0BwxsXqNm01IGEUdYcSSLTEv9YCik/edit?usp=sharing"",""เบิกจ่ายกองทุน!BZ88"")"),77750)</f>
        <v>77750</v>
      </c>
      <c r="R418" s="47">
        <f ca="1">IFERROR(__xludf.DUMMYFUNCTION("IMPORTRANGE(""https://docs.google.com/spreadsheets/d/1ItG2mGa2ceCfYo0BwxsXqNm01IGEUdYcSSLTEv9YCik/edit?usp=sharing"",""เบิกจ่ายกองทุน!CA88"")"),77750)</f>
        <v>77750</v>
      </c>
      <c r="S418" s="47">
        <f ca="1">IFERROR(__xludf.DUMMYFUNCTION("IMPORTRANGE(""https://docs.google.com/spreadsheets/d/1ItG2mGa2ceCfYo0BwxsXqNm01IGEUdYcSSLTEv9YCik/edit?usp=sharing"",""เบิกจ่ายกองทุน!CB88"")"),15000)</f>
        <v>15000</v>
      </c>
      <c r="T418" s="47">
        <f ca="1">IF(Q418&gt;0,S418*100/Q418,0)</f>
        <v>19.292604501607716</v>
      </c>
      <c r="U418" s="47">
        <f ca="1">IF(R418&gt;0,S418*100/R418,0)</f>
        <v>19.292604501607716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IFERROR(__xludf.DUMMYFUNCTION("IMPORTRANGE(""https://docs.google.com/spreadsheets/d/1-uDff_7J0KD5mKrp0Vvzr7lt3OU09vwQwhkpOPPYv2Y/edit?usp=sharing"",""งบพรบ!IR88"")"),0)</f>
        <v>0</v>
      </c>
      <c r="M421" s="47">
        <f ca="1">IFERROR(__xludf.DUMMYFUNCTION("IMPORTRANGE(""https://docs.google.com/spreadsheets/d/1-uDff_7J0KD5mKrp0Vvzr7lt3OU09vwQwhkpOPPYv2Y/edit?usp=sharing"",""งบพรบ!IU88"")"),0)</f>
        <v>0</v>
      </c>
      <c r="N421" s="47">
        <f ca="1">IFERROR(__xludf.DUMMYFUNCTION("IMPORTRANGE(""https://docs.google.com/spreadsheets/d/1-uDff_7J0KD5mKrp0Vvzr7lt3OU09vwQwhkpOPPYv2Y/edit?usp=sharing"",""งบพรบ!IW88"")"),0)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161615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IFERROR(__xludf.DUMMYFUNCTION("IMPORTRANGE(""https://docs.google.com/spreadsheets/d/1eHaY18a8A9IcSdp1K8H6x8fbOy06t2VsZHhMHf-1x7Y/edit?usp=sharing"",""แผน!HJ88"")"),161615)</f>
        <v>161615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IFERROR(__xludf.DUMMYFUNCTION("IMPORTRANGE(""https://docs.google.com/spreadsheets/d/1eHaY18a8A9IcSdp1K8H6x8fbOy06t2VsZHhMHf-1x7Y/edit?usp=sharing"",""แผน!HK88"")"),13644)</f>
        <v>13644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IFERROR(__xludf.DUMMYFUNCTION("IMPORTRANGE(""https://docs.google.com/spreadsheets/d/1eHaY18a8A9IcSdp1K8H6x8fbOy06t2VsZHhMHf-1x7Y/edit?usp=sharing"",""แผน!HJ88"")"),161615)</f>
        <v>161615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IFERROR(__xludf.DUMMYFUNCTION("IMPORTRANGE(""https://docs.google.com/spreadsheets/d/1eHaY18a8A9IcSdp1K8H6x8fbOy06t2VsZHhMHf-1x7Y/edit?usp=sharing"",""แผน!HK88"")"),13644)</f>
        <v>13644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IFERROR(__xludf.DUMMYFUNCTION("IMPORTRANGE(""https://docs.google.com/spreadsheets/d/1eHaY18a8A9IcSdp1K8H6x8fbOy06t2VsZHhMHf-1x7Y/edit?usp=sharing"",""แผน!HJ88"")"),161615)</f>
        <v>161615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IFERROR(__xludf.DUMMYFUNCTION("IMPORTRANGE(""https://docs.google.com/spreadsheets/d/1eHaY18a8A9IcSdp1K8H6x8fbOy06t2VsZHhMHf-1x7Y/edit?usp=sharing"",""แผน!HK88"")"),13644)</f>
        <v>13644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589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IFERROR(__xludf.DUMMYFUNCTION("IMPORTRANGE(""https://docs.google.com/spreadsheets/d/1eHaY18a8A9IcSdp1K8H6x8fbOy06t2VsZHhMHf-1x7Y/edit?usp=sharing"",""แผน!HL88"")"),589)</f>
        <v>589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IFERROR(__xludf.DUMMYFUNCTION("IMPORTRANGE(""https://docs.google.com/spreadsheets/d/1eHaY18a8A9IcSdp1K8H6x8fbOy06t2VsZHhMHf-1x7Y/edit?usp=sharing"",""แผน!HM88"")"),0)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907">
        <f ca="1">IFERROR(__xludf.DUMMYFUNCTION("IMPORTRANGE(""https://docs.google.com/spreadsheets/d/1eHaY18a8A9IcSdp1K8H6x8fbOy06t2VsZHhMHf-1x7Y/edit?usp=sharing"",""แผน!HO88"")"),161)</f>
        <v>161</v>
      </c>
      <c r="J484" s="657">
        <f>J486+J488+J490</f>
        <v>0</v>
      </c>
      <c r="K484" s="656">
        <f ca="1"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907">
        <f ca="1">IFERROR(__xludf.DUMMYFUNCTION("IMPORTRANGE(""https://docs.google.com/spreadsheets/d/1eHaY18a8A9IcSdp1K8H6x8fbOy06t2VsZHhMHf-1x7Y/edit?usp=sharing"",""แผน!HN88"")"),26)</f>
        <v>26</v>
      </c>
      <c r="J485" s="657">
        <f>J487+J489+J491</f>
        <v>0</v>
      </c>
      <c r="K485" s="656">
        <f ca="1"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>J503</f>
        <v>30</v>
      </c>
      <c r="K492" s="311">
        <f ca="1">IF(I492&gt;0,J492*100/I492,0)</f>
        <v>100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24100</v>
      </c>
      <c r="O493" s="132">
        <f ca="1">IF(L493&gt;0,N493*100/L493,0)</f>
        <v>100</v>
      </c>
      <c r="P493" s="132">
        <f ca="1">IF(M493&gt;0,N493*100/M493,0)</f>
        <v>100</v>
      </c>
      <c r="Q493" s="132">
        <f ca="1">Q494+Q495</f>
        <v>460185</v>
      </c>
      <c r="R493" s="132">
        <f ca="1">R494+R495</f>
        <v>467885</v>
      </c>
      <c r="S493" s="132">
        <f ca="1">S494+S495</f>
        <v>328973.34000000003</v>
      </c>
      <c r="T493" s="132">
        <f ca="1">IF(Q493&gt;0,S493*100/Q493,0)</f>
        <v>71.487193194041538</v>
      </c>
      <c r="U493" s="132">
        <f ca="1">IF(R493&gt;0,S493*100/R493,0)</f>
        <v>70.310725926242569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24100</v>
      </c>
      <c r="O495" s="47">
        <f ca="1">IF(L495&gt;0,N495*100/L495,0)</f>
        <v>100</v>
      </c>
      <c r="P495" s="47">
        <f ca="1">IF(M495&gt;0,N495*100/M495,0)</f>
        <v>100</v>
      </c>
      <c r="Q495" s="47">
        <f ca="1">Q498+Q501</f>
        <v>460185</v>
      </c>
      <c r="R495" s="47">
        <f ca="1">R498+R501</f>
        <v>467885</v>
      </c>
      <c r="S495" s="47">
        <f ca="1">S498+S501</f>
        <v>328973.34000000003</v>
      </c>
      <c r="T495" s="47">
        <f ca="1">IF(Q495&gt;0,S495*100/Q495,0)</f>
        <v>71.487193194041538</v>
      </c>
      <c r="U495" s="47">
        <f ca="1">IF(R495&gt;0,S495*100/R495,0)</f>
        <v>70.310725926242569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24100</v>
      </c>
      <c r="O496" s="47">
        <f ca="1">IF(L496&gt;0,N496*100/L496,0)</f>
        <v>100</v>
      </c>
      <c r="P496" s="47">
        <f ca="1">IF(M496&gt;0,N496*100/M496,0)</f>
        <v>100</v>
      </c>
      <c r="Q496" s="47">
        <f ca="1">Q497+Q498</f>
        <v>460185</v>
      </c>
      <c r="R496" s="47">
        <f ca="1">R497+R498</f>
        <v>467885</v>
      </c>
      <c r="S496" s="47">
        <f ca="1">S497+S498</f>
        <v>328973.34000000003</v>
      </c>
      <c r="T496" s="47">
        <f ca="1">IF(Q496&gt;0,S496*100/Q496,0)</f>
        <v>71.487193194041538</v>
      </c>
      <c r="U496" s="47">
        <f ca="1">IF(R496&gt;0,S496*100/R496,0)</f>
        <v>70.310725926242569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IFERROR(__xludf.DUMMYFUNCTION("IMPORTRANGE(""https://docs.google.com/spreadsheets/d/1-uDff_7J0KD5mKrp0Vvzr7lt3OU09vwQwhkpOPPYv2Y/edit?usp=sharing"",""งบพรบ!HU88"")"),24100)</f>
        <v>24100</v>
      </c>
      <c r="M498" s="47">
        <f ca="1">IFERROR(__xludf.DUMMYFUNCTION("IMPORTRANGE(""https://docs.google.com/spreadsheets/d/1-uDff_7J0KD5mKrp0Vvzr7lt3OU09vwQwhkpOPPYv2Y/edit?usp=sharing"",""งบพรบ!HZ88"")"),24100)</f>
        <v>24100</v>
      </c>
      <c r="N498" s="47">
        <f ca="1">IFERROR(__xludf.DUMMYFUNCTION("IMPORTRANGE(""https://docs.google.com/spreadsheets/d/1-uDff_7J0KD5mKrp0Vvzr7lt3OU09vwQwhkpOPPYv2Y/edit?usp=sharing"",""งบพรบ!IB88"")"),24100)</f>
        <v>24100</v>
      </c>
      <c r="O498" s="47">
        <f ca="1">IF(L498&gt;0,N498*100/L498,0)</f>
        <v>100</v>
      </c>
      <c r="P498" s="47">
        <f ca="1">IF(M498&gt;0,N498*100/M498,0)</f>
        <v>100</v>
      </c>
      <c r="Q498" s="47">
        <f ca="1">IFERROR(__xludf.DUMMYFUNCTION("IMPORTRANGE(""https://docs.google.com/spreadsheets/d/1ItG2mGa2ceCfYo0BwxsXqNm01IGEUdYcSSLTEv9YCik/edit?usp=sharing"",""เบิกจ่ายกองทุน!AD88"")"),460185)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IFERROR(__xludf.DUMMYFUNCTION("IMPORTRANGE(""https://docs.google.com/spreadsheets/d/1ItG2mGa2ceCfYo0BwxsXqNm01IGEUdYcSSLTEv9YCik/edit?usp=sharing"",""เบิกจ่ายกองทุน!AE88"")"),467885)</f>
        <v>467885</v>
      </c>
      <c r="S498" s="47">
        <f ca="1">IFERROR(__xludf.DUMMYFUNCTION("IMPORTRANGE(""https://docs.google.com/spreadsheets/d/1ItG2mGa2ceCfYo0BwxsXqNm01IGEUdYcSSLTEv9YCik/edit?usp=sharing"",""เบิกจ่ายกองทุน!AF88"")"),328973.34)</f>
        <v>328973.34000000003</v>
      </c>
      <c r="T498" s="47">
        <f ca="1">IF(Q498&gt;0,S498*100/Q498,0)</f>
        <v>71.487193194041538</v>
      </c>
      <c r="U498" s="47">
        <f ca="1">IF(R498&gt;0,S498*100/R498,0)</f>
        <v>70.310725926242569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IFERROR(__xludf.DUMMYFUNCTION("IMPORTRANGE(""https://docs.google.com/spreadsheets/d/1-uDff_7J0KD5mKrp0Vvzr7lt3OU09vwQwhkpOPPYv2Y/edit?usp=sharing"",""งบพรบ!HX88"")"),0)</f>
        <v>0</v>
      </c>
      <c r="M501" s="47">
        <f ca="1">IFERROR(__xludf.DUMMYFUNCTION("IMPORTRANGE(""https://docs.google.com/spreadsheets/d/1-uDff_7J0KD5mKrp0Vvzr7lt3OU09vwQwhkpOPPYv2Y/edit?usp=sharing"",""งบพรบ!IA88"")"),0)</f>
        <v>0</v>
      </c>
      <c r="N501" s="47">
        <f ca="1">IFERROR(__xludf.DUMMYFUNCTION("IMPORTRANGE(""https://docs.google.com/spreadsheets/d/1-uDff_7J0KD5mKrp0Vvzr7lt3OU09vwQwhkpOPPYv2Y/edit?usp=sharing"",""งบพรบ!IC88"")"),0)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IFERROR(__xludf.DUMMYFUNCTION("IMPORTRANGE(""https://docs.google.com/spreadsheets/d/1eHaY18a8A9IcSdp1K8H6x8fbOy06t2VsZHhMHf-1x7Y/edit?usp=sharing"",""แผน!GX88"")"),30)</f>
        <v>30</v>
      </c>
      <c r="J503" s="147">
        <f>J505</f>
        <v>30</v>
      </c>
      <c r="K503" s="132">
        <f ca="1">IF(I503&gt;0,J503*100/I503,0)</f>
        <v>100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IFERROR(__xludf.DUMMYFUNCTION("IMPORTRANGE(""https://docs.google.com/spreadsheets/d/1eHaY18a8A9IcSdp1K8H6x8fbOy06t2VsZHhMHf-1x7Y/edit?usp=sharing"",""แผน!GY88"")"),30)</f>
        <v>30</v>
      </c>
      <c r="J504" s="167">
        <v>30</v>
      </c>
      <c r="K504" s="47">
        <f ca="1">IF(I504&gt;0,J504*100/I504,0)</f>
        <v>100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IFERROR(__xludf.DUMMYFUNCTION("IMPORTRANGE(""https://docs.google.com/spreadsheets/d/1eHaY18a8A9IcSdp1K8H6x8fbOy06t2VsZHhMHf-1x7Y/edit?usp=sharing"",""แผน!GZ88"")"),30)</f>
        <v>30</v>
      </c>
      <c r="J505" s="167">
        <v>30</v>
      </c>
      <c r="K505" s="47">
        <f ca="1">IF(I505&gt;0,J505*100/I505,0)</f>
        <v>100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IFERROR(__xludf.DUMMYFUNCTION("IMPORTRANGE(""https://docs.google.com/spreadsheets/d/1eHaY18a8A9IcSdp1K8H6x8fbOy06t2VsZHhMHf-1x7Y/edit?usp=sharing"",""แผน!HA88"")"),30)</f>
        <v>30</v>
      </c>
      <c r="J506" s="167">
        <v>30</v>
      </c>
      <c r="K506" s="47">
        <f ca="1">IF(I506&gt;0,J506*100/I506,0)</f>
        <v>100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IFERROR(__xludf.DUMMYFUNCTION("IMPORTRANGE(""https://docs.google.com/spreadsheets/d/1eHaY18a8A9IcSdp1K8H6x8fbOy06t2VsZHhMHf-1x7Y/edit?usp=sharing"",""แผน!HB88"")"),10)</f>
        <v>10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IFERROR(__xludf.DUMMYFUNCTION("IMPORTRANGE(""https://docs.google.com/spreadsheets/d/1eHaY18a8A9IcSdp1K8H6x8fbOy06t2VsZHhMHf-1x7Y/edit?usp=sharing"",""แผน!HC88"")"),0)</f>
        <v>0</v>
      </c>
      <c r="J509" s="355">
        <v>30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IFERROR(__xludf.DUMMYFUNCTION("IMPORTRANGE(""https://docs.google.com/spreadsheets/d/1-uDff_7J0KD5mKrp0Vvzr7lt3OU09vwQwhkpOPPYv2Y/edit?usp=sharing"",""งบพรบ!FW88"")"),0)</f>
        <v>0</v>
      </c>
      <c r="M539" s="47">
        <f ca="1">IFERROR(__xludf.DUMMYFUNCTION("IMPORTRANGE(""https://docs.google.com/spreadsheets/d/1-uDff_7J0KD5mKrp0Vvzr7lt3OU09vwQwhkpOPPYv2Y/edit?usp=sharing"",""งบพรบ!GB88"")"),0)</f>
        <v>0</v>
      </c>
      <c r="N539" s="47">
        <f ca="1">IFERROR(__xludf.DUMMYFUNCTION("IMPORTRANGE(""https://docs.google.com/spreadsheets/d/1-uDff_7J0KD5mKrp0Vvzr7lt3OU09vwQwhkpOPPYv2Y/edit?usp=sharing"",""งบพรบ!GD88"")"),0)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IFERROR(__xludf.DUMMYFUNCTION("IMPORTRANGE(""https://docs.google.com/spreadsheets/d/1-uDff_7J0KD5mKrp0Vvzr7lt3OU09vwQwhkpOPPYv2Y/edit?usp=sharing"",""งบพรบ!FZ88"")"),0)</f>
        <v>0</v>
      </c>
      <c r="M542" s="47">
        <f ca="1">IFERROR(__xludf.DUMMYFUNCTION("IMPORTRANGE(""https://docs.google.com/spreadsheets/d/1-uDff_7J0KD5mKrp0Vvzr7lt3OU09vwQwhkpOPPYv2Y/edit?usp=sharing"",""งบพรบ!GC88"")"),0)</f>
        <v>0</v>
      </c>
      <c r="N542" s="47">
        <f ca="1">IFERROR(__xludf.DUMMYFUNCTION("IMPORTRANGE(""https://docs.google.com/spreadsheets/d/1-uDff_7J0KD5mKrp0Vvzr7lt3OU09vwQwhkpOPPYv2Y/edit?usp=sharing"",""งบพรบ!GE88"")"),0)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IFERROR(__xludf.DUMMYFUNCTION("IMPORTRANGE(""https://docs.google.com/spreadsheets/d/1-uDff_7J0KD5mKrp0Vvzr7lt3OU09vwQwhkpOPPYv2Y/edit?usp=sharing"",""งบพรบ!GG88"")"),0)</f>
        <v>0</v>
      </c>
      <c r="M560" s="47">
        <f ca="1">IFERROR(__xludf.DUMMYFUNCTION("IMPORTRANGE(""https://docs.google.com/spreadsheets/d/1-uDff_7J0KD5mKrp0Vvzr7lt3OU09vwQwhkpOPPYv2Y/edit?usp=sharing"",""งบพรบ!GL88"")"),0)</f>
        <v>0</v>
      </c>
      <c r="N560" s="47">
        <f ca="1">IFERROR(__xludf.DUMMYFUNCTION("IMPORTRANGE(""https://docs.google.com/spreadsheets/d/1-uDff_7J0KD5mKrp0Vvzr7lt3OU09vwQwhkpOPPYv2Y/edit?usp=sharing"",""งบพรบ!GN88"")"),0)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IFERROR(__xludf.DUMMYFUNCTION("IMPORTRANGE(""https://docs.google.com/spreadsheets/d/1-uDff_7J0KD5mKrp0Vvzr7lt3OU09vwQwhkpOPPYv2Y/edit?usp=sharing"",""งบพรบ!GJ88"")"),0)</f>
        <v>0</v>
      </c>
      <c r="M563" s="47">
        <f ca="1">IFERROR(__xludf.DUMMYFUNCTION("IMPORTRANGE(""https://docs.google.com/spreadsheets/d/1-uDff_7J0KD5mKrp0Vvzr7lt3OU09vwQwhkpOPPYv2Y/edit?usp=sharing"",""งบพรบ!GM88"")"),0)</f>
        <v>0</v>
      </c>
      <c r="N563" s="47">
        <f ca="1">IFERROR(__xludf.DUMMYFUNCTION("IMPORTRANGE(""https://docs.google.com/spreadsheets/d/1-uDff_7J0KD5mKrp0Vvzr7lt3OU09vwQwhkpOPPYv2Y/edit?usp=sharing"",""งบพรบ!GO88"")"),0)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807875</v>
      </c>
      <c r="M576" s="132">
        <f ca="1">M577+M578</f>
        <v>807875</v>
      </c>
      <c r="N576" s="132">
        <f ca="1">N577+N578</f>
        <v>525400</v>
      </c>
      <c r="O576" s="132">
        <f ca="1">IF(L576&gt;0,N576*100/L576,0)</f>
        <v>65.034813554077047</v>
      </c>
      <c r="P576" s="132">
        <f ca="1">IF(M576&gt;0,N576*100/M576,0)</f>
        <v>65.034813554077047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807875</v>
      </c>
      <c r="M578" s="47">
        <f ca="1">M581+M584</f>
        <v>807875</v>
      </c>
      <c r="N578" s="47">
        <f ca="1">N581+N584</f>
        <v>525400</v>
      </c>
      <c r="O578" s="47">
        <f ca="1">IF(L578&gt;0,N578*100/L578,0)</f>
        <v>65.034813554077047</v>
      </c>
      <c r="P578" s="47">
        <f ca="1">IF(M578&gt;0,N578*100/M578,0)</f>
        <v>65.034813554077047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807875</v>
      </c>
      <c r="M579" s="47">
        <f ca="1">M580+M581</f>
        <v>807875</v>
      </c>
      <c r="N579" s="47">
        <f ca="1">N580+N581</f>
        <v>525400</v>
      </c>
      <c r="O579" s="47">
        <f ca="1">IF(L579&gt;0,N579*100/L579,0)</f>
        <v>65.034813554077047</v>
      </c>
      <c r="P579" s="47">
        <f ca="1">IF(M579&gt;0,N579*100/M579,0)</f>
        <v>65.034813554077047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IFERROR(__xludf.DUMMYFUNCTION("IMPORTRANGE(""https://docs.google.com/spreadsheets/d/1-uDff_7J0KD5mKrp0Vvzr7lt3OU09vwQwhkpOPPYv2Y/edit?usp=sharing"",""งบพรบ!GQ88"")"),807875)</f>
        <v>807875</v>
      </c>
      <c r="M581" s="47">
        <f ca="1">IFERROR(__xludf.DUMMYFUNCTION("IMPORTRANGE(""https://docs.google.com/spreadsheets/d/1-uDff_7J0KD5mKrp0Vvzr7lt3OU09vwQwhkpOPPYv2Y/edit?usp=sharing"",""งบพรบ!GV88"")"),807875)</f>
        <v>807875</v>
      </c>
      <c r="N581" s="47">
        <f ca="1">IFERROR(__xludf.DUMMYFUNCTION("IMPORTRANGE(""https://docs.google.com/spreadsheets/d/1-uDff_7J0KD5mKrp0Vvzr7lt3OU09vwQwhkpOPPYv2Y/edit?usp=sharing"",""งบพรบ!GX88"")"),525400)</f>
        <v>525400</v>
      </c>
      <c r="O581" s="47">
        <f ca="1">IF(L581&gt;0,N581*100/L581,0)</f>
        <v>65.034813554077047</v>
      </c>
      <c r="P581" s="47">
        <f ca="1">IF(M581&gt;0,N581*100/M581,0)</f>
        <v>65.034813554077047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IFERROR(__xludf.DUMMYFUNCTION("IMPORTRANGE(""https://docs.google.com/spreadsheets/d/1-uDff_7J0KD5mKrp0Vvzr7lt3OU09vwQwhkpOPPYv2Y/edit?usp=sharing"",""งบพรบ!GT88"")"),0)</f>
        <v>0</v>
      </c>
      <c r="M584" s="47">
        <f ca="1">IFERROR(__xludf.DUMMYFUNCTION("IMPORTRANGE(""https://docs.google.com/spreadsheets/d/1-uDff_7J0KD5mKrp0Vvzr7lt3OU09vwQwhkpOPPYv2Y/edit?usp=sharing"",""งบพรบ!GW88"")"),0)</f>
        <v>0</v>
      </c>
      <c r="N584" s="47">
        <f ca="1">IFERROR(__xludf.DUMMYFUNCTION("IMPORTRANGE(""https://docs.google.com/spreadsheets/d/1-uDff_7J0KD5mKrp0Vvzr7lt3OU09vwQwhkpOPPYv2Y/edit?usp=sharing"",""งบพรบ!GY88"")"),0)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IFERROR(__xludf.DUMMYFUNCTION("IMPORTRANGE(""https://docs.google.com/spreadsheets/d/1-uDff_7J0KD5mKrp0Vvzr7lt3OU09vwQwhkpOPPYv2Y/edit?usp=sharing"",""งบพรบ!HK88"")"),0)</f>
        <v>0</v>
      </c>
      <c r="M604" s="47">
        <f ca="1">IFERROR(__xludf.DUMMYFUNCTION("IMPORTRANGE(""https://docs.google.com/spreadsheets/d/1-uDff_7J0KD5mKrp0Vvzr7lt3OU09vwQwhkpOPPYv2Y/edit?usp=sharing"",""งบพรบ!HP88"")"),0)</f>
        <v>0</v>
      </c>
      <c r="N604" s="47">
        <f ca="1">IFERROR(__xludf.DUMMYFUNCTION("IMPORTRANGE(""https://docs.google.com/spreadsheets/d/1-uDff_7J0KD5mKrp0Vvzr7lt3OU09vwQwhkpOPPYv2Y/edit?usp=sharing"",""งบพรบ!HR88"")"),0)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IFERROR(__xludf.DUMMYFUNCTION("IMPORTRANGE(""https://docs.google.com/spreadsheets/d/1ItG2mGa2ceCfYo0BwxsXqNm01IGEUdYcSSLTEv9YCik/edit?usp=sharing"",""เบิกจ่ายกองทุน!AX88"")"),0)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IFERROR(__xludf.DUMMYFUNCTION("IMPORTRANGE(""https://docs.google.com/spreadsheets/d/1-uDff_7J0KD5mKrp0Vvzr7lt3OU09vwQwhkpOPPYv2Y/edit?usp=sharing"",""งบพรบ!HN88"")"),0)</f>
        <v>0</v>
      </c>
      <c r="M607" s="47">
        <f ca="1">IFERROR(__xludf.DUMMYFUNCTION("IMPORTRANGE(""https://docs.google.com/spreadsheets/d/1-uDff_7J0KD5mKrp0Vvzr7lt3OU09vwQwhkpOPPYv2Y/edit?usp=sharing"",""งบพรบ!HQ88"")"),0)</f>
        <v>0</v>
      </c>
      <c r="N607" s="47">
        <f ca="1">IFERROR(__xludf.DUMMYFUNCTION("IMPORTRANGE(""https://docs.google.com/spreadsheets/d/1-uDff_7J0KD5mKrp0Vvzr7lt3OU09vwQwhkpOPPYv2Y/edit?usp=sharing"",""งบพรบ!HS88"")"),0)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IFERROR(__xludf.DUMMYFUNCTION("IMPORTRANGE(""https://docs.google.com/spreadsheets/d/1ItG2mGa2ceCfYo0BwxsXqNm01IGEUdYcSSLTEv9YCik/edit?usp=sharing"",""เบิกจ่ายกองทุน!BA88"")"),0)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2075</v>
      </c>
      <c r="R616" s="132">
        <f ca="1">R617+R618</f>
        <v>2075</v>
      </c>
      <c r="S616" s="132">
        <f ca="1">S617+S618</f>
        <v>2007</v>
      </c>
      <c r="T616" s="132">
        <f ca="1">IF(Q616&gt;0,S616*100/Q616,0)</f>
        <v>96.722891566265062</v>
      </c>
      <c r="U616" s="132">
        <f ca="1">IF(R616&gt;0,S616*100/R616,0)</f>
        <v>96.722891566265062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2075</v>
      </c>
      <c r="R618" s="47">
        <f ca="1">R621+R624</f>
        <v>2075</v>
      </c>
      <c r="S618" s="47">
        <f ca="1">S621+S624</f>
        <v>2007</v>
      </c>
      <c r="T618" s="47">
        <f ca="1">IF(Q618&gt;0,S618*100/Q618,0)</f>
        <v>96.722891566265062</v>
      </c>
      <c r="U618" s="47">
        <f ca="1">IF(R618&gt;0,S618*100/R618,0)</f>
        <v>96.722891566265062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2075</v>
      </c>
      <c r="R619" s="47">
        <f ca="1">R620+R621</f>
        <v>2075</v>
      </c>
      <c r="S619" s="47">
        <f ca="1">S620+S621</f>
        <v>2007</v>
      </c>
      <c r="T619" s="47">
        <f ca="1">IF(Q619&gt;0,S619*100/Q619,0)</f>
        <v>96.722891566265062</v>
      </c>
      <c r="U619" s="47">
        <f ca="1">IF(R619&gt;0,S619*100/R619,0)</f>
        <v>96.722891566265062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IFERROR(__xludf.DUMMYFUNCTION("IMPORTRANGE(""https://docs.google.com/spreadsheets/d/1ItG2mGa2ceCfYo0BwxsXqNm01IGEUdYcSSLTEv9YCik/edit?usp=sharing"",""เบิกจ่ายกองทุน!H88"")"),2007)</f>
        <v>2007</v>
      </c>
      <c r="T621" s="47">
        <f ca="1">IF(Q621&gt;0,S621*100/Q621,0)</f>
        <v>96.722891566265062</v>
      </c>
      <c r="U621" s="47">
        <f ca="1">IF(R621&gt;0,S621*100/R621,0)</f>
        <v>96.722891566265062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IFERROR(__xludf.DUMMYFUNCTION("IMPORTRANGE(""https://docs.google.com/spreadsheets/d/1eHaY18a8A9IcSdp1K8H6x8fbOy06t2VsZHhMHf-1x7Y/edit?usp=sharing"",""แผน!ID88"")"),0)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IFERROR(__xludf.DUMMYFUNCTION("IMPORTRANGE(""https://docs.google.com/spreadsheets/d/1eHaY18a8A9IcSdp1K8H6x8fbOy06t2VsZHhMHf-1x7Y/edit?usp=sharing"",""แผน!IC88"")"),1)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IFERROR(__xludf.DUMMYFUNCTION("IMPORTRANGE(""https://docs.google.com/spreadsheets/d/1eHaY18a8A9IcSdp1K8H6x8fbOy06t2VsZHhMHf-1x7Y/edit?usp=sharing"",""แผน!IF88"")"),0)</f>
        <v>0</v>
      </c>
      <c r="J652" s="15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IFERROR(__xludf.DUMMYFUNCTION("IMPORTRANGE(""https://docs.google.com/spreadsheets/d/1eHaY18a8A9IcSdp1K8H6x8fbOy06t2VsZHhMHf-1x7Y/edit?usp=sharing"",""แผน!IG88"")"),0)</f>
        <v>0</v>
      </c>
      <c r="J653" s="15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IFERROR(__xludf.DUMMYFUNCTION("IMPORTRANGE(""https://docs.google.com/spreadsheets/d/1eHaY18a8A9IcSdp1K8H6x8fbOy06t2VsZHhMHf-1x7Y/edit?usp=sharing"",""แผน!IL88"")"),0)</f>
        <v>0</v>
      </c>
      <c r="J673" s="15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IFERROR(__xludf.DUMMYFUNCTION("IMPORTRANGE(""https://docs.google.com/spreadsheets/d/1eHaY18a8A9IcSdp1K8H6x8fbOy06t2VsZHhMHf-1x7Y/edit?usp=sharing"",""แผน!IO88"")"),0)</f>
        <v>0</v>
      </c>
      <c r="J676" s="15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IFERROR(__xludf.DUMMYFUNCTION("IMPORTRANGE(""https://docs.google.com/spreadsheets/d/1eHaY18a8A9IcSdp1K8H6x8fbOy06t2VsZHhMHf-1x7Y/edit?usp=sharing"",""แผน!IP88"")"),0)</f>
        <v>0</v>
      </c>
      <c r="J678" s="15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IFERROR(__xludf.DUMMYFUNCTION("IMPORTRANGE(""https://docs.google.com/spreadsheets/d/1eHaY18a8A9IcSdp1K8H6x8fbOy06t2VsZHhMHf-1x7Y/edit?usp=sharing"",""แผน!IQ88"")"),0)</f>
        <v>0</v>
      </c>
      <c r="J679" s="15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IFERROR(__xludf.DUMMYFUNCTION("IMPORTRANGE(""https://docs.google.com/spreadsheets/d/1eHaY18a8A9IcSdp1K8H6x8fbOy06t2VsZHhMHf-1x7Y/edit?usp=sharing"",""แผน!IR88"")"),0)</f>
        <v>0</v>
      </c>
      <c r="J681" s="15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76940</v>
      </c>
      <c r="R690" s="132">
        <f ca="1">R691+R692</f>
        <v>76940</v>
      </c>
      <c r="S690" s="132">
        <f ca="1">S691+S692</f>
        <v>76940</v>
      </c>
      <c r="T690" s="132">
        <f ca="1">IF(Q690&gt;0,S690*100/Q690,0)</f>
        <v>100</v>
      </c>
      <c r="U690" s="132">
        <f ca="1">IF(R690&gt;0,S690*100/R690,0)</f>
        <v>100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76940</v>
      </c>
      <c r="R692" s="47">
        <f ca="1">R695+R698</f>
        <v>76940</v>
      </c>
      <c r="S692" s="47">
        <f ca="1">S695+S698</f>
        <v>76940</v>
      </c>
      <c r="T692" s="47">
        <f ca="1">IF(Q692&gt;0,S692*100/Q692,0)</f>
        <v>100</v>
      </c>
      <c r="U692" s="47">
        <f ca="1">IF(R692&gt;0,S692*100/R692,0)</f>
        <v>100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76940</v>
      </c>
      <c r="R693" s="47">
        <f ca="1">R694+R695</f>
        <v>76940</v>
      </c>
      <c r="S693" s="47">
        <f ca="1">S694+S695</f>
        <v>76940</v>
      </c>
      <c r="T693" s="47">
        <f ca="1">IF(Q693&gt;0,S693*100/Q693,0)</f>
        <v>100</v>
      </c>
      <c r="U693" s="47">
        <f ca="1">IF(R693&gt;0,S693*100/R693,0)</f>
        <v>100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IFERROR(__xludf.DUMMYFUNCTION("IMPORTRANGE(""https://docs.google.com/spreadsheets/d/1ItG2mGa2ceCfYo0BwxsXqNm01IGEUdYcSSLTEv9YCik/edit?usp=sharing"",""เบิกจ่ายกองทุน!N88"")"),76940)</f>
        <v>76940</v>
      </c>
      <c r="T695" s="47">
        <f ca="1">IF(Q695&gt;0,S695*100/Q695,0)</f>
        <v>100</v>
      </c>
      <c r="U695" s="47">
        <f ca="1">IF(R695&gt;0,S695*100/R695,0)</f>
        <v>100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IFERROR(__xludf.DUMMYFUNCTION("IMPORTRANGE(""https://docs.google.com/spreadsheets/d/1eHaY18a8A9IcSdp1K8H6x8fbOy06t2VsZHhMHf-1x7Y/edit?usp=sharing"",""แผน!LJ88"")"),0)</f>
        <v>0</v>
      </c>
      <c r="J703" s="15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IFERROR(__xludf.DUMMYFUNCTION("IMPORTRANGE(""https://docs.google.com/spreadsheets/d/1eHaY18a8A9IcSdp1K8H6x8fbOy06t2VsZHhMHf-1x7Y/edit?usp=sharing"",""แผน!LK88"")"),5)</f>
        <v>5</v>
      </c>
      <c r="J705" s="152">
        <f ca="1">IFERROR(__xludf.DUMMYFUNCTION("IMPORTRANGE(""https://docs.google.com/spreadsheets/d/1tdoBKaGub7dwA3U6UFTqxio9LNnvDCQjHKmttSEBsFQ/edit?usp=sharing"",""จัดที่ดิน!AR88"")"),0)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IFERROR(__xludf.DUMMYFUNCTION("IMPORTRANGE(""https://docs.google.com/spreadsheets/d/1eHaY18a8A9IcSdp1K8H6x8fbOy06t2VsZHhMHf-1x7Y/edit?usp=sharing"",""แผน!LJ88"")"),0)</f>
        <v>0</v>
      </c>
      <c r="J707" s="15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IFERROR(__xludf.DUMMYFUNCTION("IMPORTRANGE(""https://docs.google.com/spreadsheets/d/1eHaY18a8A9IcSdp1K8H6x8fbOy06t2VsZHhMHf-1x7Y/edit?usp=sharing"",""แผน!LK88"")"),5)</f>
        <v>5</v>
      </c>
      <c r="J709" s="152">
        <f ca="1">IFERROR(__xludf.DUMMYFUNCTION("IMPORTRANGE(""https://docs.google.com/spreadsheets/d/1tdoBKaGub7dwA3U6UFTqxio9LNnvDCQjHKmttSEBsFQ/edit?usp=sharing"",""จัดที่ดิน!BP88"")"),19)</f>
        <v>19</v>
      </c>
      <c r="K709" s="47">
        <f ca="1">IF(I709&gt;0,J709*100/I709,0)</f>
        <v>380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IFERROR(__xludf.DUMMYFUNCTION("IMPORTRANGE(""https://docs.google.com/spreadsheets/d/1eHaY18a8A9IcSdp1K8H6x8fbOy06t2VsZHhMHf-1x7Y/edit?usp=sharing"",""แผน!GA88"")"),51)</f>
        <v>51</v>
      </c>
      <c r="J726" s="483">
        <f>J742+J746+J749</f>
        <v>51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IFERROR(__xludf.DUMMYFUNCTION("IMPORTRANGE(""https://docs.google.com/spreadsheets/d/1eHaY18a8A9IcSdp1K8H6x8fbOy06t2VsZHhMHf-1x7Y/edit?usp=sharing"",""แผน!FZ88"")"),500)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348774</v>
      </c>
      <c r="T728" s="132">
        <f ca="1">IF(Q728&gt;0,S728*100/Q728,0)</f>
        <v>92.002954443535842</v>
      </c>
      <c r="U728" s="132">
        <f ca="1">IF(R728&gt;0,S728*100/R728,0)</f>
        <v>92.002954443535842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348774</v>
      </c>
      <c r="T730" s="47">
        <f ca="1">IF(Q730&gt;0,S730*100/Q730,0)</f>
        <v>92.002954443535842</v>
      </c>
      <c r="U730" s="47">
        <f ca="1">IF(R730&gt;0,S730*100/R730,0)</f>
        <v>92.002954443535842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348774</v>
      </c>
      <c r="T731" s="47">
        <f ca="1">IF(Q731&gt;0,S731*100/Q731,0)</f>
        <v>92.002954443535842</v>
      </c>
      <c r="U731" s="47">
        <f ca="1">IF(R731&gt;0,S731*100/R731,0)</f>
        <v>92.002954443535842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IFERROR(__xludf.DUMMYFUNCTION("IMPORTRANGE(""https://docs.google.com/spreadsheets/d/1ItG2mGa2ceCfYo0BwxsXqNm01IGEUdYcSSLTEv9YCik/edit?usp=sharing"",""เบิกจ่ายกองทุน!Q88"")"),348774)</f>
        <v>348774</v>
      </c>
      <c r="T733" s="47">
        <f ca="1">IF(Q733&gt;0,S733*100/Q733,0)</f>
        <v>92.002954443535842</v>
      </c>
      <c r="U733" s="47">
        <f ca="1">IF(R733&gt;0,S733*100/R733,0)</f>
        <v>92.002954443535842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IFERROR(__xludf.DUMMYFUNCTION("IMPORTRANGE(""https://docs.google.com/spreadsheets/d/1eHaY18a8A9IcSdp1K8H6x8fbOy06t2VsZHhMHf-1x7Y/edit?usp=sharing"",""แผน!GB88"")"),400)</f>
        <v>400</v>
      </c>
      <c r="J740" s="554">
        <v>400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/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IFERROR(__xludf.DUMMYFUNCTION("IMPORTRANGE(""https://docs.google.com/spreadsheets/d/1eHaY18a8A9IcSdp1K8H6x8fbOy06t2VsZHhMHf-1x7Y/edit?usp=sharing"",""แผน!GC88"")"),40)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IFERROR(__xludf.DUMMYFUNCTION("IMPORTRANGE(""https://docs.google.com/spreadsheets/d/1eHaY18a8A9IcSdp1K8H6x8fbOy06t2VsZHhMHf-1x7Y/edit?usp=sharing"",""แผน!GD88"")"),100)</f>
        <v>100</v>
      </c>
      <c r="J744" s="554">
        <v>100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/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IFERROR(__xludf.DUMMYFUNCTION("IMPORTRANGE(""https://docs.google.com/spreadsheets/d/1eHaY18a8A9IcSdp1K8H6x8fbOy06t2VsZHhMHf-1x7Y/edit?usp=sharing"",""แผน!GE88"")"),10)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IFERROR(__xludf.DUMMYFUNCTION("IMPORTRANGE(""https://docs.google.com/spreadsheets/d/1eHaY18a8A9IcSdp1K8H6x8fbOy06t2VsZHhMHf-1x7Y/edit?usp=sharing"",""แผน!GF88"")"),1)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IFERROR(__xludf.DUMMYFUNCTION("IMPORTRANGE(""https://docs.google.com/spreadsheets/d/1eHaY18a8A9IcSdp1K8H6x8fbOy06t2VsZHhMHf-1x7Y/edit?usp=sharing"",""แผน!GB88"")"),400)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IFERROR(__xludf.DUMMYFUNCTION("IMPORTRANGE(""https://docs.google.com/spreadsheets/d/1eHaY18a8A9IcSdp1K8H6x8fbOy06t2VsZHhMHf-1x7Y/edit?usp=sharing"",""แผน!GD88"")"),100)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40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80</v>
      </c>
      <c r="J759" s="483">
        <f>J774</f>
        <v>80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338980</v>
      </c>
      <c r="R760" s="132">
        <f ca="1">R761+R762</f>
        <v>338980</v>
      </c>
      <c r="S760" s="132">
        <f ca="1">S761+S762</f>
        <v>265900</v>
      </c>
      <c r="T760" s="132">
        <f ca="1">IF(Q760&gt;0,S760*100/Q760,0)</f>
        <v>78.441205970853744</v>
      </c>
      <c r="U760" s="132">
        <f ca="1">IF(R760&gt;0,S760*100/R760,0)</f>
        <v>78.441205970853744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338980</v>
      </c>
      <c r="R762" s="47">
        <f ca="1">R765+R768</f>
        <v>338980</v>
      </c>
      <c r="S762" s="47">
        <f ca="1">S765+S768</f>
        <v>265900</v>
      </c>
      <c r="T762" s="47">
        <f ca="1">IF(Q762&gt;0,S762*100/Q762,0)</f>
        <v>78.441205970853744</v>
      </c>
      <c r="U762" s="47">
        <f ca="1">IF(R762&gt;0,S762*100/R762,0)</f>
        <v>78.441205970853744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338980</v>
      </c>
      <c r="R763" s="47">
        <f ca="1">R764+R765</f>
        <v>338980</v>
      </c>
      <c r="S763" s="47">
        <f ca="1">S764+S765</f>
        <v>265900</v>
      </c>
      <c r="T763" s="47">
        <f ca="1">IF(Q763&gt;0,S763*100/Q763,0)</f>
        <v>78.441205970853744</v>
      </c>
      <c r="U763" s="47">
        <f ca="1">IF(R763&gt;0,S763*100/R763,0)</f>
        <v>78.441205970853744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IFERROR(__xludf.DUMMYFUNCTION("IMPORTRANGE(""https://docs.google.com/spreadsheets/d/1ItG2mGa2ceCfYo0BwxsXqNm01IGEUdYcSSLTEv9YCik/edit?usp=sharing"",""เบิกจ่ายกองทุน!AB88"")"),338980)</f>
        <v>338980</v>
      </c>
      <c r="S765" s="47">
        <f ca="1">IFERROR(__xludf.DUMMYFUNCTION("IMPORTRANGE(""https://docs.google.com/spreadsheets/d/1ItG2mGa2ceCfYo0BwxsXqNm01IGEUdYcSSLTEv9YCik/edit?usp=sharing"",""เบิกจ่ายกองทุน!AC88"")"),265900)</f>
        <v>265900</v>
      </c>
      <c r="T765" s="47">
        <f ca="1">IF(Q765&gt;0,S765*100/Q765,0)</f>
        <v>78.441205970853744</v>
      </c>
      <c r="U765" s="47">
        <f ca="1">IF(R765&gt;0,S765*100/R765,0)</f>
        <v>78.441205970853744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IFERROR(__xludf.DUMMYFUNCTION("IMPORTRANGE(""https://docs.google.com/spreadsheets/d/1eHaY18a8A9IcSdp1K8H6x8fbOy06t2VsZHhMHf-1x7Y/edit?usp=sharing"",""แผน!FI88"")"),1)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40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80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80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IFERROR(__xludf.DUMMYFUNCTION("IMPORTRANGE(""https://docs.google.com/spreadsheets/d/1eHaY18a8A9IcSdp1K8H6x8fbOy06t2VsZHhMHf-1x7Y/edit?usp=sharing"",""แผน!FT88"")"),40)</f>
        <v>40</v>
      </c>
      <c r="J776" s="355">
        <v>40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IFERROR(__xludf.DUMMYFUNCTION("IMPORTRANGE(""https://docs.google.com/spreadsheets/d/10OvvATaaLtwErnr3qtWFcTmtbfpFEt5Bsqel9sXx0uE/edit?usp=sharing"",""งานกองทุน!D88"")"),200743.15)</f>
        <v>200743.15</v>
      </c>
      <c r="J778" s="152">
        <f ca="1">IFERROR(__xludf.DUMMYFUNCTION("IMPORTRANGE(""https://docs.google.com/spreadsheets/d/10OvvATaaLtwErnr3qtWFcTmtbfpFEt5Bsqel9sXx0uE/edit?usp=sharing"",""งานกองทุน!F88"")"),236417.23)</f>
        <v>236417.23</v>
      </c>
      <c r="K778" s="47">
        <f ca="1">IF(I778&gt;0,J778*100/I778,0)</f>
        <v>117.77100737933026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IFERROR(__xludf.DUMMYFUNCTION("IMPORTRANGE(""https://docs.google.com/spreadsheets/d/10OvvATaaLtwErnr3qtWFcTmtbfpFEt5Bsqel9sXx0uE/edit?usp=sharing"",""งานกองทุน!C88"")"),12)</f>
        <v>12</v>
      </c>
      <c r="J779" s="152">
        <f ca="1">IFERROR(__xludf.DUMMYFUNCTION("IMPORTRANGE(""https://docs.google.com/spreadsheets/d/10OvvATaaLtwErnr3qtWFcTmtbfpFEt5Bsqel9sXx0uE/edit?usp=sharing"",""งานกองทุน!E88"")"),15)</f>
        <v>15</v>
      </c>
      <c r="K779" s="47">
        <f ca="1">IF(I779&gt;0,J779*100/I779,0)</f>
        <v>125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152">
        <f ca="1">IFERROR(__xludf.DUMMYFUNCTION("IMPORTRANGE(""https://docs.google.com/spreadsheets/d/10OvvATaaLtwErnr3qtWFcTmtbfpFEt5Bsqel9sXx0uE/edit?usp=sharing"",""งานกองทุน!K88"")"),256101.44)</f>
        <v>256101.44</v>
      </c>
      <c r="K780" s="47">
        <f ca="1">IF(I780&gt;0,J780*100/I780,0)</f>
        <v>16.007866350056478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IFERROR(__xludf.DUMMYFUNCTION("IMPORTRANGE(""https://docs.google.com/spreadsheets/d/10OvvATaaLtwErnr3qtWFcTmtbfpFEt5Bsqel9sXx0uE/edit?usp=sharing"",""งานกองทุน!H88"")"),59)</f>
        <v>59</v>
      </c>
      <c r="J781" s="152">
        <f ca="1">IFERROR(__xludf.DUMMYFUNCTION("IMPORTRANGE(""https://docs.google.com/spreadsheets/d/10OvvATaaLtwErnr3qtWFcTmtbfpFEt5Bsqel9sXx0uE/edit?usp=sharing"",""งานกองทุน!J88"")"),46)</f>
        <v>46</v>
      </c>
      <c r="K781" s="47">
        <f ca="1">IF(I781&gt;0,J781*100/I781,0)</f>
        <v>77.966101694915253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IFERROR(__xludf.DUMMYFUNCTION("IMPORTRANGE(""https://docs.google.com/spreadsheets/d/10OvvATaaLtwErnr3qtWFcTmtbfpFEt5Bsqel9sXx0uE/edit?usp=sharing"",""งานกองทุน!N88"")"),28232)</f>
        <v>28232</v>
      </c>
      <c r="J782" s="152">
        <f ca="1">IFERROR(__xludf.DUMMYFUNCTION("IMPORTRANGE(""https://docs.google.com/spreadsheets/d/10OvvATaaLtwErnr3qtWFcTmtbfpFEt5Bsqel9sXx0uE/edit?usp=sharing"",""งานกองทุน!P88"")"),88779)</f>
        <v>88779</v>
      </c>
      <c r="K782" s="47">
        <f ca="1">IF(I782&gt;0,J782*100/I782,0)</f>
        <v>314.46231226976482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IFERROR(__xludf.DUMMYFUNCTION("IMPORTRANGE(""https://docs.google.com/spreadsheets/d/10OvvATaaLtwErnr3qtWFcTmtbfpFEt5Bsqel9sXx0uE/edit?usp=sharing"",""งานกองทุน!M88"")"),14)</f>
        <v>14</v>
      </c>
      <c r="J783" s="152">
        <f ca="1">IFERROR(__xludf.DUMMYFUNCTION("IMPORTRANGE(""https://docs.google.com/spreadsheets/d/10OvvATaaLtwErnr3qtWFcTmtbfpFEt5Bsqel9sXx0uE/edit?usp=sharing"",""งานกองทุน!O88"")"),4)</f>
        <v>4</v>
      </c>
      <c r="K783" s="47">
        <f ca="1">IF(I783&gt;0,J783*100/I783,0)</f>
        <v>28.571428571428573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IFERROR(__xludf.DUMMYFUNCTION("IMPORTRANGE(""https://docs.google.com/spreadsheets/d/10OvvATaaLtwErnr3qtWFcTmtbfpFEt5Bsqel9sXx0uE/edit?usp=sharing"",""งานกองทุน!S88"")"),3724000)</f>
        <v>3724000</v>
      </c>
      <c r="J784" s="152">
        <f ca="1">IFERROR(__xludf.DUMMYFUNCTION("IMPORTRANGE(""https://docs.google.com/spreadsheets/d/10OvvATaaLtwErnr3qtWFcTmtbfpFEt5Bsqel9sXx0uE/edit?usp=sharing"",""งานกองทุน!U88"")"),2350000)</f>
        <v>2350000</v>
      </c>
      <c r="K784" s="47">
        <f ca="1">IF(I784&gt;0,J784*100/I784,0)</f>
        <v>63.104189044038669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IFERROR(__xludf.DUMMYFUNCTION("IMPORTRANGE(""https://docs.google.com/spreadsheets/d/10OvvATaaLtwErnr3qtWFcTmtbfpFEt5Bsqel9sXx0uE/edit?usp=sharing"",""งานกองทุน!R88"")"),133)</f>
        <v>133</v>
      </c>
      <c r="J785" s="197">
        <f ca="1">IFERROR(__xludf.DUMMYFUNCTION("IMPORTRANGE(""https://docs.google.com/spreadsheets/d/10OvvATaaLtwErnr3qtWFcTmtbfpFEt5Bsqel9sXx0uE/edit?usp=sharing"",""งานกองทุน!T88"")"),47)</f>
        <v>47</v>
      </c>
      <c r="K785" s="111">
        <f ca="1">IF(I785&gt;0,J785*100/I785,0)</f>
        <v>35.338345864661655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B2EB3-5DE3-42B3-978F-F935BBF1D3D3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3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315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42396794</v>
      </c>
      <c r="M18" s="35">
        <f ca="1">M19+M20</f>
        <v>42750024</v>
      </c>
      <c r="N18" s="35">
        <f ca="1">N19+N20</f>
        <v>35696158.390000001</v>
      </c>
      <c r="O18" s="35">
        <f ca="1">IF(L18&gt;0,N18*100/L18,0)</f>
        <v>84.195419092302117</v>
      </c>
      <c r="P18" s="35">
        <f ca="1">IF(M18&gt;0,N18*100/M18,0)</f>
        <v>83.499738830555984</v>
      </c>
      <c r="Q18" s="35">
        <f ca="1">Q19+Q20</f>
        <v>1891168</v>
      </c>
      <c r="R18" s="35">
        <f ca="1">R19+R20</f>
        <v>1931268</v>
      </c>
      <c r="S18" s="35">
        <f ca="1">S19+S20</f>
        <v>653538.26</v>
      </c>
      <c r="T18" s="35">
        <f ca="1">IF(Q18&gt;0,S18*100/Q18,0)</f>
        <v>34.557387815360663</v>
      </c>
      <c r="U18" s="35">
        <f ca="1">IF(R18&gt;0,S18*100/R18,0)</f>
        <v>33.839853402013603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42396794</v>
      </c>
      <c r="M20" s="39">
        <f ca="1">M23+M26</f>
        <v>42750024</v>
      </c>
      <c r="N20" s="39">
        <f ca="1">N23+N26</f>
        <v>35696158.390000001</v>
      </c>
      <c r="O20" s="39">
        <f ca="1">IF(L20&gt;0,N20*100/L20,0)</f>
        <v>84.195419092302117</v>
      </c>
      <c r="P20" s="39">
        <f ca="1">IF(M20&gt;0,N20*100/M20,0)</f>
        <v>83.499738830555984</v>
      </c>
      <c r="Q20" s="39">
        <f ca="1">Q23+Q26</f>
        <v>1891168</v>
      </c>
      <c r="R20" s="39">
        <f ca="1">R23+R26</f>
        <v>1931268</v>
      </c>
      <c r="S20" s="39">
        <f ca="1">S23+S26</f>
        <v>653538.26</v>
      </c>
      <c r="T20" s="39">
        <f ca="1">IF(Q20&gt;0,S20*100/Q20,0)</f>
        <v>34.557387815360663</v>
      </c>
      <c r="U20" s="39">
        <f ca="1">IF(R20&gt;0,S20*100/R20,0)</f>
        <v>33.839853402013603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3029294</v>
      </c>
      <c r="M21" s="47">
        <f ca="1">M22+M23</f>
        <v>3382524</v>
      </c>
      <c r="N21" s="47">
        <f ca="1">N22+N23</f>
        <v>2272658.3899999997</v>
      </c>
      <c r="O21" s="47">
        <f ca="1">IF(L21&gt;0,N21*100/L21,0)</f>
        <v>75.022707931286945</v>
      </c>
      <c r="P21" s="47">
        <f ca="1">IF(M21&gt;0,N21*100/M21,0)</f>
        <v>67.188241384244421</v>
      </c>
      <c r="Q21" s="47">
        <f ca="1">Q22+Q23</f>
        <v>1891168</v>
      </c>
      <c r="R21" s="47">
        <f ca="1">R22+R23</f>
        <v>1931268</v>
      </c>
      <c r="S21" s="47">
        <f ca="1">S22+S23</f>
        <v>653538.26</v>
      </c>
      <c r="T21" s="47">
        <f ca="1">IF(Q21&gt;0,S21*100/Q21,0)</f>
        <v>34.557387815360663</v>
      </c>
      <c r="U21" s="47">
        <f ca="1">IF(R21&gt;0,S21*100/R21,0)</f>
        <v>33.839853402013603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3029294</v>
      </c>
      <c r="M23" s="47">
        <f ca="1">M49+M64+M77+M99+M122+M144+M162+M191+M178+M271+M287+M308+M325+M338+M361+M380+M418+M498+M518+M539+M560+M581+M604+M621+M647+M695+M719+M733+M765</f>
        <v>3382524</v>
      </c>
      <c r="N23" s="47">
        <f ca="1">N49+N64+N77+N99+N122+N144+N162+N191+N178+N271+N287+N308+N325+N338+N361+N380+N418+N498+N518+N539+N560+N581+N604+N621+N647+N695+N719+N733+N765</f>
        <v>2272658.3899999997</v>
      </c>
      <c r="O23" s="47">
        <f ca="1">IF(L23&gt;0,N23*100/L23,0)</f>
        <v>75.022707931286945</v>
      </c>
      <c r="P23" s="47">
        <f ca="1">IF(M23&gt;0,N23*100/M23,0)</f>
        <v>67.188241384244421</v>
      </c>
      <c r="Q23" s="47">
        <f ca="1">Q77+Q99+Q122+Q144+Q162+Q178+Q191+Q271+Q287+Q308+Q338+Q380+Q397+Q418+Q498+Q604+Q621+Q647+Q695+Q719+Q733+Q765</f>
        <v>1891168</v>
      </c>
      <c r="R23" s="47">
        <f ca="1">R77+R99+R122+R144+R162+R178+R191+R271+R287+R308+R338+R380+R397+R418+R498+R604+R621+R647+R695+R719+R733+R765</f>
        <v>1931268</v>
      </c>
      <c r="S23" s="47">
        <f ca="1">S77+S99+S122+S144+S162+S178+S191+S271+S287+S308+S338+S380+S397+S418+S498+S604+S621+S647+S695+S719+S733+S765</f>
        <v>653538.26</v>
      </c>
      <c r="T23" s="47">
        <f ca="1">IF(Q23&gt;0,S23*100/Q23,0)</f>
        <v>34.557387815360663</v>
      </c>
      <c r="U23" s="47">
        <f ca="1">IF(R23&gt;0,S23*100/R23,0)</f>
        <v>33.839853402013603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39367500</v>
      </c>
      <c r="M24" s="47">
        <f ca="1">M25+M26</f>
        <v>39367500</v>
      </c>
      <c r="N24" s="47">
        <f ca="1">N25+N26</f>
        <v>33423500</v>
      </c>
      <c r="O24" s="47">
        <f ca="1">IF(L24&gt;0,N24*100/L24,0)</f>
        <v>84.901251031942593</v>
      </c>
      <c r="P24" s="47">
        <f ca="1">IF(M24&gt;0,N24*100/M24,0)</f>
        <v>84.901251031942593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39367500</v>
      </c>
      <c r="M26" s="47">
        <f ca="1">M52+M67+M80+M102+M125+M147+M165+M194+M181+M274+M290+M311+M328+M341+M364+M383+M421+M501+M521+M542+M563+M584+M607+M624+M650+M698+M722+M736+M768</f>
        <v>39367500</v>
      </c>
      <c r="N26" s="47">
        <f ca="1">N52+N67+N80+N102+N125+N147+N165+N194+N181+N274+N290+N311+N328+N341+N364+N383+N421+N501+N521+N542+N563+N584+N607+N624+N650+N698+N722+N736+N768</f>
        <v>33423500</v>
      </c>
      <c r="O26" s="47">
        <f ca="1">IF(L26&gt;0,N26*100/L26,0)</f>
        <v>84.901251031942593</v>
      </c>
      <c r="P26" s="47">
        <f ca="1">IF(M26&gt;0,N26*100/M26,0)</f>
        <v>84.901251031942593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8538910</v>
      </c>
      <c r="M40" s="803">
        <f ca="1">M44+M59+M72+M94+M125+M139+M157+M173+M186+M266+M282+M303+M320+M333+M356</f>
        <v>8759640</v>
      </c>
      <c r="N40" s="803">
        <f ca="1">N44+N59+N72+N94+N125+N139+N157+N173+N186+N266+N282+N303+N320+N333+N356</f>
        <v>2125698.3899999997</v>
      </c>
      <c r="O40" s="803">
        <f ca="1">IF(L40&gt;0,N40*100/L40,0)</f>
        <v>24.894259220439139</v>
      </c>
      <c r="P40" s="803">
        <f ca="1">IF(M40&gt;0,N40*100/M40,0)</f>
        <v>24.266960628518977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551520</v>
      </c>
      <c r="M44" s="79">
        <f ca="1">M45+M46</f>
        <v>588130</v>
      </c>
      <c r="N44" s="79">
        <f ca="1">N45+N46</f>
        <v>444232</v>
      </c>
      <c r="O44" s="79">
        <f ca="1">IF(L44&gt;0,N44*100/L44,0)</f>
        <v>80.546852335364079</v>
      </c>
      <c r="P44" s="79">
        <f ca="1">IF(M44&gt;0,N44*100/M44,0)</f>
        <v>75.532960399911588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551520</v>
      </c>
      <c r="M46" s="83">
        <f ca="1">M49+M52</f>
        <v>588130</v>
      </c>
      <c r="N46" s="83">
        <f ca="1">N49+N52</f>
        <v>444232</v>
      </c>
      <c r="O46" s="83">
        <f ca="1">IF(L46&gt;0,N46*100/L46,0)</f>
        <v>80.546852335364079</v>
      </c>
      <c r="P46" s="83">
        <f ca="1">IF(M46&gt;0,N46*100/M46,0)</f>
        <v>75.532960399911588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551520</v>
      </c>
      <c r="M47" s="47">
        <f ca="1">M48+M49</f>
        <v>588130</v>
      </c>
      <c r="N47" s="47">
        <f ca="1">N48+N49</f>
        <v>444232</v>
      </c>
      <c r="O47" s="47">
        <f ca="1">IF(L47&gt;0,N47*100/L47,0)</f>
        <v>80.546852335364079</v>
      </c>
      <c r="P47" s="47">
        <f ca="1">IF(M47&gt;0,N47*100/M47,0)</f>
        <v>75.532960399911588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IFERROR(__xludf.DUMMYFUNCTION("IMPORTRANGE(""https://docs.google.com/spreadsheets/d/1-uDff_7J0KD5mKrp0Vvzr7lt3OU09vwQwhkpOPPYv2Y/edit?usp=sharing"",""งบพรบ!P75"")"),551520)</f>
        <v>551520</v>
      </c>
      <c r="M49" s="47">
        <f ca="1">IFERROR(__xludf.DUMMYFUNCTION("IMPORTRANGE(""https://docs.google.com/spreadsheets/d/1-uDff_7J0KD5mKrp0Vvzr7lt3OU09vwQwhkpOPPYv2Y/edit?usp=sharing"",""งบพรบ!V75"")"),588130)</f>
        <v>588130</v>
      </c>
      <c r="N49" s="47">
        <f ca="1">IFERROR(__xludf.DUMMYFUNCTION("IMPORTRANGE(""https://docs.google.com/spreadsheets/d/1-uDff_7J0KD5mKrp0Vvzr7lt3OU09vwQwhkpOPPYv2Y/edit?usp=sharing"",""งบพรบ!Y75"")"),444232)</f>
        <v>444232</v>
      </c>
      <c r="O49" s="47">
        <f ca="1">IF(L49&gt;0,N49*100/L49,0)</f>
        <v>80.546852335364079</v>
      </c>
      <c r="P49" s="47">
        <f ca="1">IF(M49&gt;0,N49*100/M49,0)</f>
        <v>75.532960399911588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6607000</v>
      </c>
      <c r="M59" s="106">
        <f ca="1">M60+M61</f>
        <v>6638000</v>
      </c>
      <c r="N59" s="106">
        <f ca="1">N60+N61</f>
        <v>627100.06999999995</v>
      </c>
      <c r="O59" s="106">
        <f ca="1">IF(L59&gt;0,N59*100/L59,0)</f>
        <v>9.4914495232329337</v>
      </c>
      <c r="P59" s="106">
        <f ca="1">IF(M59&gt;0,N59*100/M59,0)</f>
        <v>9.4471236818318758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6607000</v>
      </c>
      <c r="M61" s="109">
        <f ca="1">M64+M67</f>
        <v>6638000</v>
      </c>
      <c r="N61" s="109">
        <f ca="1">N64+N67</f>
        <v>627100.06999999995</v>
      </c>
      <c r="O61" s="109">
        <f ca="1">IF(L61&gt;0,N61*100/L61,0)</f>
        <v>9.4914495232329337</v>
      </c>
      <c r="P61" s="109">
        <f ca="1">IF(M61&gt;0,N61*100/M61,0)</f>
        <v>9.4471236818318758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663000</v>
      </c>
      <c r="M62" s="47">
        <f ca="1">M63+M64</f>
        <v>694000</v>
      </c>
      <c r="N62" s="47">
        <f ca="1">N63+N64</f>
        <v>627100.06999999995</v>
      </c>
      <c r="O62" s="47">
        <f ca="1">IF(L62&gt;0,N62*100/L62,0)</f>
        <v>94.585229260935137</v>
      </c>
      <c r="P62" s="47">
        <f ca="1">IF(M62&gt;0,N62*100/M62,0)</f>
        <v>90.360240634005748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IFERROR(__xludf.DUMMYFUNCTION("IMPORTRANGE(""https://docs.google.com/spreadsheets/d/1-uDff_7J0KD5mKrp0Vvzr7lt3OU09vwQwhkpOPPYv2Y/edit?usp=sharing"",""งบพรบ!AC75"")"),663000)</f>
        <v>663000</v>
      </c>
      <c r="M64" s="47">
        <f ca="1">IFERROR(__xludf.DUMMYFUNCTION("IMPORTRANGE(""https://docs.google.com/spreadsheets/d/1-uDff_7J0KD5mKrp0Vvzr7lt3OU09vwQwhkpOPPYv2Y/edit?usp=sharing"",""งบพรบ!AH75"")"),694000)</f>
        <v>694000</v>
      </c>
      <c r="N64" s="47">
        <f ca="1">IFERROR(__xludf.DUMMYFUNCTION("IMPORTRANGE(""https://docs.google.com/spreadsheets/d/1-uDff_7J0KD5mKrp0Vvzr7lt3OU09vwQwhkpOPPYv2Y/edit?usp=sharing"",""งบพรบ!AJ75"")"),627100.07)</f>
        <v>627100.06999999995</v>
      </c>
      <c r="O64" s="47">
        <f ca="1">IF(L64&gt;0,N64*100/L64,0)</f>
        <v>94.585229260935137</v>
      </c>
      <c r="P64" s="47">
        <f ca="1">IF(M64&gt;0,N64*100/M64,0)</f>
        <v>90.360240634005748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5944000</v>
      </c>
      <c r="M65" s="47">
        <f ca="1">M66+M67</f>
        <v>5944000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IFERROR(__xludf.DUMMYFUNCTION("IMPORTRANGE(""https://docs.google.com/spreadsheets/d/1-uDff_7J0KD5mKrp0Vvzr7lt3OU09vwQwhkpOPPYv2Y/edit?usp=sharing"",""งบพรบ!AF75"")"),5944000)</f>
        <v>5944000</v>
      </c>
      <c r="M67" s="111">
        <f ca="1">IFERROR(__xludf.DUMMYFUNCTION("IMPORTRANGE(""https://docs.google.com/spreadsheets/d/1-uDff_7J0KD5mKrp0Vvzr7lt3OU09vwQwhkpOPPYv2Y/edit?usp=sharing"",""งบพรบ!AI75"")"),5944000)</f>
        <v>5944000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132612.67000000001</v>
      </c>
      <c r="T117" s="132">
        <f ca="1">IF(Q117&gt;0,S117*100/Q117,0)</f>
        <v>69.263903687454302</v>
      </c>
      <c r="U117" s="132">
        <f ca="1">IF(R117&gt;0,S117*100/R117,0)</f>
        <v>69.263903687454302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132612.67000000001</v>
      </c>
      <c r="T119" s="47">
        <f ca="1">IF(Q119&gt;0,S119*100/Q119,0)</f>
        <v>69.263903687454302</v>
      </c>
      <c r="U119" s="47">
        <f ca="1">IF(R119&gt;0,S119*100/R119,0)</f>
        <v>69.263903687454302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132612.67000000001</v>
      </c>
      <c r="T120" s="47">
        <f ca="1">IF(Q120&gt;0,S120*100/Q120,0)</f>
        <v>69.263903687454302</v>
      </c>
      <c r="U120" s="47">
        <f ca="1">IF(R120&gt;0,S120*100/R120,0)</f>
        <v>69.263903687454302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IFERROR(__xludf.DUMMYFUNCTION("IMPORTRANGE(""https://docs.google.com/spreadsheets/d/1ItG2mGa2ceCfYo0BwxsXqNm01IGEUdYcSSLTEv9YCik/edit?usp=sharing"",""เบิกจ่ายกองทุน!W75"")"),132612.67)</f>
        <v>132612.67000000001</v>
      </c>
      <c r="T122" s="47">
        <f ca="1">IF(Q122&gt;0,S122*100/Q122,0)</f>
        <v>69.263903687454302</v>
      </c>
      <c r="U122" s="47">
        <f ca="1">IF(R122&gt;0,S122*100/R122,0)</f>
        <v>69.263903687454302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IFERROR(__xludf.DUMMYFUNCTION("IMPORTRANGE(""https://docs.google.com/spreadsheets/d/1eHaY18a8A9IcSdp1K8H6x8fbOy06t2VsZHhMHf-1x7Y/edit?usp=sharing"",""แผน!FG75"")"),1)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IFERROR(__xludf.DUMMYFUNCTION("IMPORTRANGE(""https://docs.google.com/spreadsheets/d/1eHaY18a8A9IcSdp1K8H6x8fbOy06t2VsZHhMHf-1x7Y/edit?usp=sharing"",""แผน!FI75"")"),1)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IFERROR(__xludf.DUMMYFUNCTION("IMPORTRANGE(""https://docs.google.com/spreadsheets/d/1eHaY18a8A9IcSdp1K8H6x8fbOy06t2VsZHhMHf-1x7Y/edit?usp=sharing"",""แผน!U75"")"),0)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IFERROR(__xludf.DUMMYFUNCTION("IMPORTRANGE(""https://docs.google.com/spreadsheets/d/1eHaY18a8A9IcSdp1K8H6x8fbOy06t2VsZHhMHf-1x7Y/edit?usp=sharing"",""แผน!V75"")"),0)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IFERROR(__xludf.DUMMYFUNCTION("IMPORTRANGE(""https://docs.google.com/spreadsheets/d/1eHaY18a8A9IcSdp1K8H6x8fbOy06t2VsZHhMHf-1x7Y/edit?usp=sharing"",""แผน!W75"")"),0)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IFERROR(__xludf.DUMMYFUNCTION("IMPORTRANGE(""https://docs.google.com/spreadsheets/d/1eHaY18a8A9IcSdp1K8H6x8fbOy06t2VsZHhMHf-1x7Y/edit?usp=sharing"",""แผน!X75"")"),0)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IFERROR(__xludf.DUMMYFUNCTION("IMPORTRANGE(""https://docs.google.com/spreadsheets/d/1eHaY18a8A9IcSdp1K8H6x8fbOy06t2VsZHhMHf-1x7Y/edit?usp=sharing"",""แผน!Y75"")"),0)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IFERROR(__xludf.DUMMYFUNCTION("IMPORTRANGE(""https://docs.google.com/spreadsheets/d/1eHaY18a8A9IcSdp1K8H6x8fbOy06t2VsZHhMHf-1x7Y/edit?usp=sharing"",""แผน!Z75"")"),0)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IFERROR(__xludf.DUMMYFUNCTION("IMPORTRANGE(""https://docs.google.com/spreadsheets/d/1eHaY18a8A9IcSdp1K8H6x8fbOy06t2VsZHhMHf-1x7Y/edit?usp=sharing"",""แผน!Z75"")"),0)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36750</v>
      </c>
      <c r="N173" s="132">
        <f ca="1">N174+N175</f>
        <v>36750</v>
      </c>
      <c r="O173" s="132">
        <f ca="1">IF(L173&gt;0,N173*100/L173,0)</f>
        <v>187.59571209800919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36750</v>
      </c>
      <c r="N175" s="47">
        <f ca="1">N178+N181</f>
        <v>36750</v>
      </c>
      <c r="O175" s="47">
        <f ca="1">IF(L175&gt;0,N175*100/L175,0)</f>
        <v>187.59571209800919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36750</v>
      </c>
      <c r="N176" s="47">
        <f ca="1">N177+N178</f>
        <v>36750</v>
      </c>
      <c r="O176" s="47">
        <f ca="1">IF(L176&gt;0,N176*100/L176,0)</f>
        <v>187.59571209800919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ca="1">IF(L178&gt;0,N178*100/L178,0)</f>
        <v>187.59571209800919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112400</v>
      </c>
      <c r="M186" s="132">
        <f ca="1">M187+M188</f>
        <v>123100</v>
      </c>
      <c r="N186" s="132">
        <f ca="1">N187+N188</f>
        <v>108801</v>
      </c>
      <c r="O186" s="132">
        <f ca="1">IF(L186&gt;0,N186*100/L186,0)</f>
        <v>96.79804270462634</v>
      </c>
      <c r="P186" s="132">
        <f ca="1">IF(M186&gt;0,N186*100/M186,0)</f>
        <v>88.384240454914703</v>
      </c>
      <c r="Q186" s="132">
        <f ca="1">Q187+Q188</f>
        <v>42000</v>
      </c>
      <c r="R186" s="132">
        <f ca="1">R187+R188</f>
        <v>42000</v>
      </c>
      <c r="S186" s="132">
        <f ca="1">S187+S188</f>
        <v>32900</v>
      </c>
      <c r="T186" s="132">
        <f ca="1">IF(Q186&gt;0,S186*100/Q186,0)</f>
        <v>78.333333333333329</v>
      </c>
      <c r="U186" s="132">
        <f ca="1">IF(R186&gt;0,S186*100/R186,0)</f>
        <v>78.333333333333329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112400</v>
      </c>
      <c r="M188" s="47">
        <f ca="1">M191+M194</f>
        <v>123100</v>
      </c>
      <c r="N188" s="47">
        <f ca="1">N191+N194</f>
        <v>108801</v>
      </c>
      <c r="O188" s="47">
        <f ca="1">IF(L188&gt;0,N188*100/L188,0)</f>
        <v>96.79804270462634</v>
      </c>
      <c r="P188" s="47">
        <f ca="1">IF(M188&gt;0,N188*100/M188,0)</f>
        <v>88.384240454914703</v>
      </c>
      <c r="Q188" s="47">
        <f ca="1">Q191+Q194</f>
        <v>42000</v>
      </c>
      <c r="R188" s="47">
        <f ca="1">R191+R194</f>
        <v>42000</v>
      </c>
      <c r="S188" s="47">
        <f ca="1">S191+S194</f>
        <v>32900</v>
      </c>
      <c r="T188" s="47">
        <f ca="1">IF(Q188&gt;0,S188*100/Q188,0)</f>
        <v>78.333333333333329</v>
      </c>
      <c r="U188" s="47">
        <f ca="1">IF(R188&gt;0,S188*100/R188,0)</f>
        <v>78.333333333333329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112400</v>
      </c>
      <c r="M189" s="47">
        <f ca="1">M190+M191</f>
        <v>123100</v>
      </c>
      <c r="N189" s="47">
        <f ca="1">N190+N191</f>
        <v>108801</v>
      </c>
      <c r="O189" s="47">
        <f ca="1">IF(L189&gt;0,N189*100/L189,0)</f>
        <v>96.79804270462634</v>
      </c>
      <c r="P189" s="47">
        <f ca="1">IF(M189&gt;0,N189*100/M189,0)</f>
        <v>88.384240454914703</v>
      </c>
      <c r="Q189" s="47">
        <f ca="1">Q190+Q191</f>
        <v>42000</v>
      </c>
      <c r="R189" s="47">
        <f ca="1">R190+R191</f>
        <v>42000</v>
      </c>
      <c r="S189" s="47">
        <f ca="1">S190+S191</f>
        <v>32900</v>
      </c>
      <c r="T189" s="47">
        <f ca="1">IF(Q189&gt;0,S189*100/Q189,0)</f>
        <v>78.333333333333329</v>
      </c>
      <c r="U189" s="47">
        <f ca="1">IF(R189&gt;0,S189*100/R189,0)</f>
        <v>78.333333333333329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IFERROR(__xludf.DUMMYFUNCTION("IMPORTRANGE(""https://docs.google.com/spreadsheets/d/1-uDff_7J0KD5mKrp0Vvzr7lt3OU09vwQwhkpOPPYv2Y/edit?usp=sharing"",""งบพรบ!CU75"")"),112400)</f>
        <v>112400</v>
      </c>
      <c r="M191" s="47">
        <f ca="1">IFERROR(__xludf.DUMMYFUNCTION("IMPORTRANGE(""https://docs.google.com/spreadsheets/d/1-uDff_7J0KD5mKrp0Vvzr7lt3OU09vwQwhkpOPPYv2Y/edit?usp=sharing"",""งบพรบ!CZ75"")"),123100)</f>
        <v>123100</v>
      </c>
      <c r="N191" s="47">
        <f ca="1">IFERROR(__xludf.DUMMYFUNCTION("IMPORTRANGE(""https://docs.google.com/spreadsheets/d/1-uDff_7J0KD5mKrp0Vvzr7lt3OU09vwQwhkpOPPYv2Y/edit?usp=sharing"",""งบพรบ!DB75"")"),108801)</f>
        <v>108801</v>
      </c>
      <c r="O191" s="47">
        <f ca="1">IF(L191&gt;0,N191*100/L191,0)</f>
        <v>96.79804270462634</v>
      </c>
      <c r="P191" s="47">
        <f ca="1">IF(M191&gt;0,N191*100/M191,0)</f>
        <v>88.384240454914703</v>
      </c>
      <c r="Q191" s="47">
        <f ca="1">IFERROR(__xludf.DUMMYFUNCTION("IMPORTRANGE(""https://docs.google.com/spreadsheets/d/1ItG2mGa2ceCfYo0BwxsXqNm01IGEUdYcSSLTEv9YCik/edit?usp=sharing"",""เบิกจ่ายกองทุน!BQ75"")"),42000)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IFERROR(__xludf.DUMMYFUNCTION("IMPORTRANGE(""https://docs.google.com/spreadsheets/d/1ItG2mGa2ceCfYo0BwxsXqNm01IGEUdYcSSLTEv9YCik/edit?usp=sharing"",""เบิกจ่ายกองทุน!BR75"")"),42000)</f>
        <v>42000</v>
      </c>
      <c r="S191" s="47">
        <f ca="1">IFERROR(__xludf.DUMMYFUNCTION("IMPORTRANGE(""https://docs.google.com/spreadsheets/d/1ItG2mGa2ceCfYo0BwxsXqNm01IGEUdYcSSLTEv9YCik/edit?usp=sharing"",""เบิกจ่ายกองทุน!BS75"")"),32900)</f>
        <v>32900</v>
      </c>
      <c r="T191" s="47">
        <f ca="1">IF(Q191&gt;0,S191*100/Q191,0)</f>
        <v>78.333333333333329</v>
      </c>
      <c r="U191" s="47">
        <f ca="1">IF(R191&gt;0,S191*100/R191,0)</f>
        <v>78.333333333333329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4</v>
      </c>
      <c r="K195" s="229">
        <f ca="1">IF(I195&gt;0,J195*100/I195,0)</f>
        <v>100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IFERROR(__xludf.DUMMYFUNCTION("IMPORTRANGE(""https://docs.google.com/spreadsheets/d/1eHaY18a8A9IcSdp1K8H6x8fbOy06t2VsZHhMHf-1x7Y/edit?usp=sharing"",""แผน!AE75"")"),4)</f>
        <v>4</v>
      </c>
      <c r="J198" s="167">
        <v>4</v>
      </c>
      <c r="K198" s="47">
        <f ca="1">IF(I198&gt;0,J198*100/I198,0)</f>
        <v>100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3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15000</v>
      </c>
      <c r="M203" s="46"/>
      <c r="N203" s="132">
        <f>N204+N205+N206+N207</f>
        <v>14567</v>
      </c>
      <c r="O203" s="132">
        <f ca="1">IF(L203&gt;0,N203*100/L203,0)</f>
        <v>97.11333333333333</v>
      </c>
      <c r="P203" s="132">
        <f>IF(M203&gt;0,N203*100/M203,0)</f>
        <v>0</v>
      </c>
      <c r="Q203" s="768">
        <f ca="1">Q204+Q205+Q206+Q207</f>
        <v>42000</v>
      </c>
      <c r="R203" s="177"/>
      <c r="S203" s="767">
        <f>S204+S205+S206+S207</f>
        <v>32900</v>
      </c>
      <c r="T203" s="767">
        <f ca="1">IF(Q203&gt;0,S203*100/Q203,0)</f>
        <v>78.333333333333329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743">
        <v>2197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IFERROR(__xludf.DUMMYFUNCTION("IMPORTRANGE(""https://docs.google.com/spreadsheets/d/1eHaY18a8A9IcSdp1K8H6x8fbOy06t2VsZHhMHf-1x7Y/edit?usp=sharing"",""แผน!AH75"")"),0)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IFERROR(__xludf.DUMMYFUNCTION("IMPORTRANGE(""https://docs.google.com/spreadsheets/d/1eHaY18a8A9IcSdp1K8H6x8fbOy06t2VsZHhMHf-1x7Y/edit?usp=sharing"",""แผน!AI75"")"),0)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743">
        <v>32900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743">
        <v>12370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IFERROR(__xludf.DUMMYFUNCTION("IMPORTRANGE(""https://docs.google.com/spreadsheets/d/1eHaY18a8A9IcSdp1K8H6x8fbOy06t2VsZHhMHf-1x7Y/edit?usp=sharing"",""แผน!AK75"")"),3)</f>
        <v>3</v>
      </c>
      <c r="J209" s="167">
        <v>3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IFERROR(__xludf.DUMMYFUNCTION("IMPORTRANGE(""https://docs.google.com/spreadsheets/d/1eHaY18a8A9IcSdp1K8H6x8fbOy06t2VsZHhMHf-1x7Y/edit?usp=sharing"",""แผน!JX75"")"),3)</f>
        <v>3</v>
      </c>
      <c r="J211" s="167">
        <v>3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IFERROR(__xludf.DUMMYFUNCTION("IMPORTRANGE(""https://docs.google.com/spreadsheets/d/1eHaY18a8A9IcSdp1K8H6x8fbOy06t2VsZHhMHf-1x7Y/edit?usp=sharing"",""แผน!AM75"")"),0)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IFERROR(__xludf.DUMMYFUNCTION("IMPORTRANGE(""https://docs.google.com/spreadsheets/d/1eHaY18a8A9IcSdp1K8H6x8fbOy06t2VsZHhMHf-1x7Y/edit?usp=sharing"",""แผน!AN75"")"),0)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IFERROR(__xludf.DUMMYFUNCTION("IMPORTRANGE(""https://docs.google.com/spreadsheets/d/1eHaY18a8A9IcSdp1K8H6x8fbOy06t2VsZHhMHf-1x7Y/edit?usp=sharing"",""แผน!AO75"")"),0)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IFERROR(__xludf.DUMMYFUNCTION("IMPORTRANGE(""https://docs.google.com/spreadsheets/d/1eHaY18a8A9IcSdp1K8H6x8fbOy06t2VsZHhMHf-1x7Y/edit?usp=sharing"",""แผน!LY75"")"),0)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IFERROR(__xludf.DUMMYFUNCTION("IMPORTRANGE(""https://docs.google.com/spreadsheets/d/1eHaY18a8A9IcSdp1K8H6x8fbOy06t2VsZHhMHf-1x7Y/edit?usp=sharing"",""แผน!AR75"")"),2500)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IFERROR(__xludf.DUMMYFUNCTION("IMPORTRANGE(""https://docs.google.com/spreadsheets/d/1eHaY18a8A9IcSdp1K8H6x8fbOy06t2VsZHhMHf-1x7Y/edit?usp=sharing"",""แผน!AS75"")"),6000)</f>
        <v>6000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IFERROR(__xludf.DUMMYFUNCTION("IMPORTRANGE(""https://docs.google.com/spreadsheets/d/1eHaY18a8A9IcSdp1K8H6x8fbOy06t2VsZHhMHf-1x7Y/edit?usp=sharing"",""แผน!AT75"")"),0)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IFERROR(__xludf.DUMMYFUNCTION("IMPORTRANGE(""https://docs.google.com/spreadsheets/d/1eHaY18a8A9IcSdp1K8H6x8fbOy06t2VsZHhMHf-1x7Y/edit?usp=sharing"",""แผน!AV75"")"),50000)</f>
        <v>50000</v>
      </c>
      <c r="J228" s="167">
        <v>50000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IFERROR(__xludf.DUMMYFUNCTION("IMPORTRANGE(""https://docs.google.com/spreadsheets/d/1eHaY18a8A9IcSdp1K8H6x8fbOy06t2VsZHhMHf-1x7Y/edit?usp=sharing"",""แผน!AX75"")"),0)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IFERROR(__xludf.DUMMYFUNCTION("IMPORTRANGE(""https://docs.google.com/spreadsheets/d/1eHaY18a8A9IcSdp1K8H6x8fbOy06t2VsZHhMHf-1x7Y/edit?usp=sharing"",""แผน!AY75"")"),0)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IFERROR(__xludf.DUMMYFUNCTION("IMPORTRANGE(""https://docs.google.com/spreadsheets/d/1eHaY18a8A9IcSdp1K8H6x8fbOy06t2VsZHhMHf-1x7Y/edit?usp=sharing"",""แผน!AZ75"")"),0)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IFERROR(__xludf.DUMMYFUNCTION("IMPORTRANGE(""https://docs.google.com/spreadsheets/d/1eHaY18a8A9IcSdp1K8H6x8fbOy06t2VsZHhMHf-1x7Y/edit?usp=sharing"",""แผน!BA75"")"),0)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IFERROR(__xludf.DUMMYFUNCTION("IMPORTRANGE(""https://docs.google.com/spreadsheets/d/1eHaY18a8A9IcSdp1K8H6x8fbOy06t2VsZHhMHf-1x7Y/edit?usp=sharing"",""แผน!BG75"")"),0)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IFERROR(__xludf.DUMMYFUNCTION("IMPORTRANGE(""https://docs.google.com/spreadsheets/d/1eHaY18a8A9IcSdp1K8H6x8fbOy06t2VsZHhMHf-1x7Y/edit?usp=sharing"",""แผน!BB75"")"),0)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IFERROR(__xludf.DUMMYFUNCTION("IMPORTRANGE(""https://docs.google.com/spreadsheets/d/1eHaY18a8A9IcSdp1K8H6x8fbOy06t2VsZHhMHf-1x7Y/edit?usp=sharing"",""แผน!BC75"")"),0)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IFERROR(__xludf.DUMMYFUNCTION("IMPORTRANGE(""https://docs.google.com/spreadsheets/d/1eHaY18a8A9IcSdp1K8H6x8fbOy06t2VsZHhMHf-1x7Y/edit?usp=sharing"",""แผน!BD75"")"),0)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IFERROR(__xludf.DUMMYFUNCTION("IMPORTRANGE(""https://docs.google.com/spreadsheets/d/1eHaY18a8A9IcSdp1K8H6x8fbOy06t2VsZHhMHf-1x7Y/edit?usp=sharing"",""แผน!BE75"")"),0)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IFERROR(__xludf.DUMMYFUNCTION("IMPORTRANGE(""https://docs.google.com/spreadsheets/d/1eHaY18a8A9IcSdp1K8H6x8fbOy06t2VsZHhMHf-1x7Y/edit?usp=sharing"",""แผน!BH75"")"),0)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2140</v>
      </c>
      <c r="O266" s="421">
        <f ca="1">IF(L266&gt;0,N266*100/L266,0)</f>
        <v>42.8</v>
      </c>
      <c r="P266" s="421">
        <f ca="1">IF(M266&gt;0,N266*100/M266,0)</f>
        <v>42.8</v>
      </c>
      <c r="Q266" s="421">
        <f ca="1">Q267+Q268</f>
        <v>50660</v>
      </c>
      <c r="R266" s="421">
        <f ca="1">R267+R268</f>
        <v>50660</v>
      </c>
      <c r="S266" s="421">
        <f ca="1">S267+S268</f>
        <v>37450</v>
      </c>
      <c r="T266" s="421">
        <f ca="1">IF(Q266&gt;0,S266*100/Q266,0)</f>
        <v>73.924200552704306</v>
      </c>
      <c r="U266" s="421">
        <f ca="1">IF(R266&gt;0,S266*100/R266,0)</f>
        <v>73.924200552704306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2140</v>
      </c>
      <c r="O268" s="331">
        <f ca="1">IF(L268&gt;0,N268*100/L268,0)</f>
        <v>42.8</v>
      </c>
      <c r="P268" s="331">
        <f ca="1">IF(M268&gt;0,N268*100/M268,0)</f>
        <v>42.8</v>
      </c>
      <c r="Q268" s="331">
        <f ca="1">Q271+Q274</f>
        <v>50660</v>
      </c>
      <c r="R268" s="331">
        <f ca="1">R271+R274</f>
        <v>50660</v>
      </c>
      <c r="S268" s="331">
        <f ca="1">S271+S274</f>
        <v>37450</v>
      </c>
      <c r="T268" s="331">
        <f ca="1">IF(Q268&gt;0,S268*100/Q268,0)</f>
        <v>73.924200552704306</v>
      </c>
      <c r="U268" s="331">
        <f ca="1">IF(R268&gt;0,S268*100/R268,0)</f>
        <v>73.924200552704306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2140</v>
      </c>
      <c r="O269" s="331">
        <f ca="1">IF(L269&gt;0,N269*100/L269,0)</f>
        <v>42.8</v>
      </c>
      <c r="P269" s="331">
        <f ca="1">IF(M269&gt;0,N269*100/M269,0)</f>
        <v>42.8</v>
      </c>
      <c r="Q269" s="331">
        <f ca="1">Q270+Q271</f>
        <v>50660</v>
      </c>
      <c r="R269" s="331">
        <f ca="1">R270+R271</f>
        <v>50660</v>
      </c>
      <c r="S269" s="331">
        <f ca="1">S270+S271</f>
        <v>37450</v>
      </c>
      <c r="T269" s="331">
        <f ca="1">IF(Q269&gt;0,S269*100/Q269,0)</f>
        <v>73.924200552704306</v>
      </c>
      <c r="U269" s="331">
        <f ca="1">IF(R269&gt;0,S269*100/R269,0)</f>
        <v>73.924200552704306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IFERROR(__xludf.DUMMYFUNCTION("IMPORTRANGE(""https://docs.google.com/spreadsheets/d/1-uDff_7J0KD5mKrp0Vvzr7lt3OU09vwQwhkpOPPYv2Y/edit?usp=sharing"",""งบพรบ!DE75"")"),5000)</f>
        <v>5000</v>
      </c>
      <c r="M271" s="331">
        <f ca="1">IFERROR(__xludf.DUMMYFUNCTION("IMPORTRANGE(""https://docs.google.com/spreadsheets/d/1-uDff_7J0KD5mKrp0Vvzr7lt3OU09vwQwhkpOPPYv2Y/edit?usp=sharing"",""งบพรบ!DJ75"")"),5000)</f>
        <v>5000</v>
      </c>
      <c r="N271" s="331">
        <f ca="1">IFERROR(__xludf.DUMMYFUNCTION("IMPORTRANGE(""https://docs.google.com/spreadsheets/d/1-uDff_7J0KD5mKrp0Vvzr7lt3OU09vwQwhkpOPPYv2Y/edit?usp=sharing"",""งบพรบ!DL75"")"),2140)</f>
        <v>2140</v>
      </c>
      <c r="O271" s="331">
        <f ca="1">IF(L271&gt;0,N271*100/L271,0)</f>
        <v>42.8</v>
      </c>
      <c r="P271" s="331">
        <f ca="1">IF(M271&gt;0,N271*100/M271,0)</f>
        <v>42.8</v>
      </c>
      <c r="Q271" s="331">
        <f ca="1">IFERROR(__xludf.DUMMYFUNCTION("IMPORTRANGE(""https://docs.google.com/spreadsheets/d/1ItG2mGa2ceCfYo0BwxsXqNm01IGEUdYcSSLTEv9YCik/edit?usp=sharing"",""เบิกจ่ายกองทุน!AP75"")"),50660)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IFERROR(__xludf.DUMMYFUNCTION("IMPORTRANGE(""https://docs.google.com/spreadsheets/d/1ItG2mGa2ceCfYo0BwxsXqNm01IGEUdYcSSLTEv9YCik/edit?usp=sharing"",""เบิกจ่ายกองทุน!AR75"")"),37450)</f>
        <v>37450</v>
      </c>
      <c r="T271" s="331">
        <f ca="1">IF(Q271&gt;0,S271*100/Q271,0)</f>
        <v>73.924200552704306</v>
      </c>
      <c r="U271" s="331">
        <f ca="1">IF(R271&gt;0,S271*100/R271,0)</f>
        <v>73.924200552704306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IFERROR(__xludf.DUMMYFUNCTION("IMPORTRANGE(""https://docs.google.com/spreadsheets/d/1-uDff_7J0KD5mKrp0Vvzr7lt3OU09vwQwhkpOPPYv2Y/edit?usp=sharing"",""งบพรบ!DH75"")"),0)</f>
        <v>0</v>
      </c>
      <c r="M274" s="331">
        <f ca="1">IFERROR(__xludf.DUMMYFUNCTION("IMPORTRANGE(""https://docs.google.com/spreadsheets/d/1-uDff_7J0KD5mKrp0Vvzr7lt3OU09vwQwhkpOPPYv2Y/edit?usp=sharing"",""งบพรบ!DK75"")"),0)</f>
        <v>0</v>
      </c>
      <c r="N274" s="331">
        <f ca="1">IFERROR(__xludf.DUMMYFUNCTION("IMPORTRANGE(""https://docs.google.com/spreadsheets/d/1-uDff_7J0KD5mKrp0Vvzr7lt3OU09vwQwhkpOPPYv2Y/edit?usp=sharing"",""งบพรบ!DM75"")"),0)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IFERROR(__xludf.DUMMYFUNCTION("IMPORTRANGE(""https://docs.google.com/spreadsheets/d/1eHaY18a8A9IcSdp1K8H6x8fbOy06t2VsZHhMHf-1x7Y/edit?usp=sharing"",""แผน!EC75"")"),22)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2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235000</v>
      </c>
      <c r="M320" s="132">
        <f ca="1">M321+M322</f>
        <v>235000</v>
      </c>
      <c r="N320" s="132">
        <f ca="1">N321+N322</f>
        <v>99179.91</v>
      </c>
      <c r="O320" s="132">
        <f ca="1">IF(L320&gt;0,N320*100/L320,0)</f>
        <v>42.204217021276598</v>
      </c>
      <c r="P320" s="132">
        <f ca="1">IF(M320&gt;0,N320*100/M320,0)</f>
        <v>42.204217021276598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235000</v>
      </c>
      <c r="M322" s="47">
        <f ca="1">M325+M328</f>
        <v>235000</v>
      </c>
      <c r="N322" s="47">
        <f ca="1">N325+N328</f>
        <v>99179.91</v>
      </c>
      <c r="O322" s="47">
        <f ca="1">IF(L322&gt;0,N322*100/L322,0)</f>
        <v>42.204217021276598</v>
      </c>
      <c r="P322" s="47">
        <f ca="1">IF(M322&gt;0,N322*100/M322,0)</f>
        <v>42.204217021276598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235000</v>
      </c>
      <c r="M323" s="47">
        <f ca="1">M324+M325</f>
        <v>235000</v>
      </c>
      <c r="N323" s="47">
        <f ca="1">N324+N325</f>
        <v>99179.91</v>
      </c>
      <c r="O323" s="47">
        <f ca="1">IF(L323&gt;0,N323*100/L323,0)</f>
        <v>42.204217021276598</v>
      </c>
      <c r="P323" s="47">
        <f ca="1">IF(M323&gt;0,N323*100/M323,0)</f>
        <v>42.204217021276598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IFERROR(__xludf.DUMMYFUNCTION("IMPORTRANGE(""https://docs.google.com/spreadsheets/d/1-uDff_7J0KD5mKrp0Vvzr7lt3OU09vwQwhkpOPPYv2Y/edit?usp=sharing"",""งบพรบ!EI75"")"),235000)</f>
        <v>235000</v>
      </c>
      <c r="M325" s="47">
        <f ca="1">IFERROR(__xludf.DUMMYFUNCTION("IMPORTRANGE(""https://docs.google.com/spreadsheets/d/1-uDff_7J0KD5mKrp0Vvzr7lt3OU09vwQwhkpOPPYv2Y/edit?usp=sharing"",""งบพรบ!EN75"")"),235000)</f>
        <v>235000</v>
      </c>
      <c r="N325" s="47">
        <f ca="1">IFERROR(__xludf.DUMMYFUNCTION("IMPORTRANGE(""https://docs.google.com/spreadsheets/d/1-uDff_7J0KD5mKrp0Vvzr7lt3OU09vwQwhkpOPPYv2Y/edit?usp=sharing"",""งบพรบ!EP75"")"),99179.91)</f>
        <v>99179.91</v>
      </c>
      <c r="O325" s="47">
        <f ca="1">IF(L325&gt;0,N325*100/L325,0)</f>
        <v>42.204217021276598</v>
      </c>
      <c r="P325" s="47">
        <f ca="1">IF(M325&gt;0,N325*100/M325,0)</f>
        <v>42.204217021276598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IFERROR(__xludf.DUMMYFUNCTION("IMPORTRANGE(""https://docs.google.com/spreadsheets/d/1eHaY18a8A9IcSdp1K8H6x8fbOy06t2VsZHhMHf-1x7Y/edit?usp=sharing"",""แผน!EJ75"")"),2)</f>
        <v>2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1340</v>
      </c>
      <c r="J332" s="697">
        <f ca="1">J344+J347+J348+J349+J353</f>
        <v>6855</v>
      </c>
      <c r="K332" s="696">
        <f ca="1">IF(I332&gt;0,J332*100/I332,0)</f>
        <v>511.56716417910445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142563.25</v>
      </c>
      <c r="O333" s="132">
        <f ca="1">IF(L333&gt;0,N333*100/L333,0)</f>
        <v>77.903415300546442</v>
      </c>
      <c r="P333" s="132">
        <f ca="1">IF(M333&gt;0,N333*100/M333,0)</f>
        <v>77.903415300546442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142563.25</v>
      </c>
      <c r="O335" s="47">
        <f ca="1">IF(L335&gt;0,N335*100/L335,0)</f>
        <v>77.903415300546442</v>
      </c>
      <c r="P335" s="47">
        <f ca="1">IF(M335&gt;0,N335*100/M335,0)</f>
        <v>77.903415300546442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142563.25</v>
      </c>
      <c r="O336" s="47">
        <f ca="1">IF(L336&gt;0,N336*100/L336,0)</f>
        <v>77.903415300546442</v>
      </c>
      <c r="P336" s="47">
        <f ca="1">IF(M336&gt;0,N336*100/M336,0)</f>
        <v>77.903415300546442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IFERROR(__xludf.DUMMYFUNCTION("IMPORTRANGE(""https://docs.google.com/spreadsheets/d/1-uDff_7J0KD5mKrp0Vvzr7lt3OU09vwQwhkpOPPYv2Y/edit?usp=sharing"",""งบพรบ!ES75"")"),183000)</f>
        <v>183000</v>
      </c>
      <c r="M338" s="47">
        <f ca="1">IFERROR(__xludf.DUMMYFUNCTION("IMPORTRANGE(""https://docs.google.com/spreadsheets/d/1-uDff_7J0KD5mKrp0Vvzr7lt3OU09vwQwhkpOPPYv2Y/edit?usp=sharing"",""งบพรบ!EX75"")"),183000)</f>
        <v>183000</v>
      </c>
      <c r="N338" s="47">
        <f ca="1">IFERROR(__xludf.DUMMYFUNCTION("IMPORTRANGE(""https://docs.google.com/spreadsheets/d/1-uDff_7J0KD5mKrp0Vvzr7lt3OU09vwQwhkpOPPYv2Y/edit?usp=sharing"",""งบพรบ!EZ75"")"),142563.25)</f>
        <v>142563.25</v>
      </c>
      <c r="O338" s="47">
        <f ca="1">IF(L338&gt;0,N338*100/L338,0)</f>
        <v>77.903415300546442</v>
      </c>
      <c r="P338" s="47">
        <f ca="1">IF(M338&gt;0,N338*100/M338,0)</f>
        <v>77.903415300546442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2059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IFERROR(__xludf.DUMMYFUNCTION("IMPORTRANGE(""https://docs.google.com/spreadsheets/d/1eHaY18a8A9IcSdp1K8H6x8fbOy06t2VsZHhMHf-1x7Y/edit?usp=sharing"",""แผน!EK75"")"),1340)</f>
        <v>1340</v>
      </c>
      <c r="J344" s="152">
        <f ca="1">IFERROR(__xludf.DUMMYFUNCTION("IMPORTRANGE(""https://docs.google.com/spreadsheets/d/1awYsYK3VOup2i3Pq_Yjnu8DRu_mYwSBnCR2QPthd0rU/edit?usp=sharing"",""ศูนย์ยกเว้นโฉนด!D75"")"),1975)</f>
        <v>1975</v>
      </c>
      <c r="K344" s="47">
        <f ca="1">IF(I344&gt;0,J344*100/I344,0)</f>
        <v>147.38805970149255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IFERROR(__xludf.DUMMYFUNCTION("IMPORTRANGE(""https://docs.google.com/spreadsheets/d/1eHaY18a8A9IcSdp1K8H6x8fbOy06t2VsZHhMHf-1x7Y/edit?usp=sharing"",""แผน!EL75"")"),3)</f>
        <v>3</v>
      </c>
      <c r="J346" s="152">
        <f ca="1">IFERROR(__xludf.DUMMYFUNCTION("IMPORTRANGE(""https://docs.google.com/spreadsheets/d/1awYsYK3VOup2i3Pq_Yjnu8DRu_mYwSBnCR2QPthd0rU/edit?usp=sharing"",""ศูนย์รวม!E75"")"),5)</f>
        <v>5</v>
      </c>
      <c r="K346" s="47">
        <f ca="1">IF(I346&gt;0,J346*100/I346,0)</f>
        <v>166.66666666666666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IFERROR(__xludf.DUMMYFUNCTION("IMPORTRANGE(""https://docs.google.com/spreadsheets/d/1awYsYK3VOup2i3Pq_Yjnu8DRu_mYwSBnCR2QPthd0rU/edit?usp=sharing"",""ศูนย์ยกเว้นโฉนด!G75"")"),57)</f>
        <v>57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4796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IFERROR(__xludf.DUMMYFUNCTION("IMPORTRANGE(""https://docs.google.com/spreadsheets/d/1awYsYK3VOup2i3Pq_Yjnu8DRu_mYwSBnCR2QPthd0rU/edit?usp=sharing"",""โฉนดM3!G75"")"),0)</f>
        <v>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IFERROR(__xludf.DUMMYFUNCTION("IMPORTRANGE(""https://docs.google.com/spreadsheets/d/1awYsYK3VOup2i3Pq_Yjnu8DRu_mYwSBnCR2QPthd0rU/edit?usp=sharing"",""โฉนดM3!H75"")"),4796)</f>
        <v>4796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825400</v>
      </c>
      <c r="M356" s="132">
        <f ca="1">M357+M358</f>
        <v>950660</v>
      </c>
      <c r="N356" s="132">
        <f ca="1">N357+N358</f>
        <v>664932.16</v>
      </c>
      <c r="O356" s="132">
        <f ca="1">IF(L356&gt;0,N356*100/L356,0)</f>
        <v>80.558778773927799</v>
      </c>
      <c r="P356" s="132">
        <f ca="1">IF(M356&gt;0,N356*100/M356,0)</f>
        <v>69.944266088822502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825400</v>
      </c>
      <c r="M358" s="47">
        <f ca="1">M361+M364</f>
        <v>950660</v>
      </c>
      <c r="N358" s="47">
        <f ca="1">N361+N364</f>
        <v>664932.16</v>
      </c>
      <c r="O358" s="47">
        <f ca="1">IF(L358&gt;0,N358*100/L358,0)</f>
        <v>80.558778773927799</v>
      </c>
      <c r="P358" s="47">
        <f ca="1">IF(M358&gt;0,N358*100/M358,0)</f>
        <v>69.944266088822502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825400</v>
      </c>
      <c r="M359" s="47">
        <f ca="1">M360+M361</f>
        <v>950660</v>
      </c>
      <c r="N359" s="47">
        <f ca="1">N360+N361</f>
        <v>664932.16</v>
      </c>
      <c r="O359" s="47">
        <f ca="1">IF(L359&gt;0,N359*100/L359,0)</f>
        <v>80.558778773927799</v>
      </c>
      <c r="P359" s="47">
        <f ca="1">IF(M359&gt;0,N359*100/M359,0)</f>
        <v>69.944266088822502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IFERROR(__xludf.DUMMYFUNCTION("IMPORTRANGE(""https://docs.google.com/spreadsheets/d/1-uDff_7J0KD5mKrp0Vvzr7lt3OU09vwQwhkpOPPYv2Y/edit?usp=sharing"",""งบพรบ!FC75"")"),825400)</f>
        <v>825400</v>
      </c>
      <c r="M361" s="47">
        <f ca="1">IFERROR(__xludf.DUMMYFUNCTION("IMPORTRANGE(""https://docs.google.com/spreadsheets/d/1-uDff_7J0KD5mKrp0Vvzr7lt3OU09vwQwhkpOPPYv2Y/edit?usp=sharing"",""งบพรบ!FH75"")"),950660)</f>
        <v>950660</v>
      </c>
      <c r="N361" s="47">
        <f ca="1">IFERROR(__xludf.DUMMYFUNCTION("IMPORTRANGE(""https://docs.google.com/spreadsheets/d/1-uDff_7J0KD5mKrp0Vvzr7lt3OU09vwQwhkpOPPYv2Y/edit?usp=sharing"",""งบพรบ!FJ75"")"),664932.16)</f>
        <v>664932.16</v>
      </c>
      <c r="O361" s="47">
        <f ca="1">IF(L361&gt;0,N361*100/L361,0)</f>
        <v>80.558778773927799</v>
      </c>
      <c r="P361" s="47">
        <f ca="1">IF(M361&gt;0,N361*100/M361,0)</f>
        <v>69.944266088822502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325</v>
      </c>
      <c r="J365" s="228">
        <f ca="1">J371</f>
        <v>255</v>
      </c>
      <c r="K365" s="229">
        <f ca="1">IF(I365&gt;0,J365*100/I365,0)</f>
        <v>78.461538461538467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IFERROR(__xludf.DUMMYFUNCTION("IMPORTRANGE(""https://docs.google.com/spreadsheets/d/1tdoBKaGub7dwA3U6UFTqxio9LNnvDCQjHKmttSEBsFQ/edit?usp=sharing"",""จัดที่ดิน!AB75"")"),309)</f>
        <v>309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IFERROR(__xludf.DUMMYFUNCTION("IMPORTRANGE(""https://docs.google.com/spreadsheets/d/1eHaY18a8A9IcSdp1K8H6x8fbOy06t2VsZHhMHf-1x7Y/edit?usp=sharing"",""แผน!EW75"")"),1350)</f>
        <v>1350</v>
      </c>
      <c r="J368" s="685">
        <f ca="1">IFERROR(__xludf.DUMMYFUNCTION("IMPORTRANGE(""https://docs.google.com/spreadsheets/d/1tdoBKaGub7dwA3U6UFTqxio9LNnvDCQjHKmttSEBsFQ/edit?usp=sharing"",""จัดที่ดิน!AC75"")"),3231.34)</f>
        <v>3231.34</v>
      </c>
      <c r="K368" s="47">
        <f ca="1">IF(I368&gt;0,J368*100/I368,0)</f>
        <v>239.35851851851851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IFERROR(__xludf.DUMMYFUNCTION("IMPORTRANGE(""https://docs.google.com/spreadsheets/d/1eHaY18a8A9IcSdp1K8H6x8fbOy06t2VsZHhMHf-1x7Y/edit?usp=sharing"",""แผน!EX75"")"),325)</f>
        <v>325</v>
      </c>
      <c r="J369" s="152">
        <f ca="1">IFERROR(__xludf.DUMMYFUNCTION("IMPORTRANGE(""https://docs.google.com/spreadsheets/d/1tdoBKaGub7dwA3U6UFTqxio9LNnvDCQjHKmttSEBsFQ/edit?usp=sharing"",""จัดที่ดิน!AD75"")"),544)</f>
        <v>544</v>
      </c>
      <c r="K369" s="47">
        <f ca="1">IF(I369&gt;0,J369*100/I369,0)</f>
        <v>167.38461538461539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IFERROR(__xludf.DUMMYFUNCTION("IMPORTRANGE(""https://docs.google.com/spreadsheets/d/1tdoBKaGub7dwA3U6UFTqxio9LNnvDCQjHKmttSEBsFQ/edit?usp=sharing"",""จัดที่ดิน!AE75"")"),7714.69)</f>
        <v>7714.69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IFERROR(__xludf.DUMMYFUNCTION("IMPORTRANGE(""https://docs.google.com/spreadsheets/d/1eHaY18a8A9IcSdp1K8H6x8fbOy06t2VsZHhMHf-1x7Y/edit?usp=sharing"",""แผน!EY75"")"),325)</f>
        <v>325</v>
      </c>
      <c r="J371" s="152">
        <f ca="1">IFERROR(__xludf.DUMMYFUNCTION("IMPORTRANGE(""https://docs.google.com/spreadsheets/d/1tdoBKaGub7dwA3U6UFTqxio9LNnvDCQjHKmttSEBsFQ/edit?usp=sharing"",""จัดที่ดิน!AF75"")"),255)</f>
        <v>255</v>
      </c>
      <c r="K371" s="47">
        <f ca="1">IF(I371&gt;0,J371*100/I371,0)</f>
        <v>78.461538461538467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IFERROR(__xludf.DUMMYFUNCTION("IMPORTRANGE(""https://docs.google.com/spreadsheets/d/1tdoBKaGub7dwA3U6UFTqxio9LNnvDCQjHKmttSEBsFQ/edit?usp=sharing"",""จัดที่ดิน!AG75"")"),3820.86)</f>
        <v>3820.86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45700</v>
      </c>
      <c r="M375" s="132">
        <f ca="1">M376+M377</f>
        <v>45700</v>
      </c>
      <c r="N375" s="132">
        <f ca="1">N376+N377</f>
        <v>10320</v>
      </c>
      <c r="O375" s="132">
        <f ca="1">IF(L375&gt;0,N375*100/L375,0)</f>
        <v>22.582056892778994</v>
      </c>
      <c r="P375" s="132">
        <f ca="1">IF(M375&gt;0,N375*100/M375,0)</f>
        <v>22.582056892778994</v>
      </c>
      <c r="Q375" s="132">
        <f ca="1">Q376+Q377</f>
        <v>62500</v>
      </c>
      <c r="R375" s="132">
        <f ca="1">R376+R377</f>
        <v>62500</v>
      </c>
      <c r="S375" s="132">
        <f ca="1">S376+S377</f>
        <v>19662</v>
      </c>
      <c r="T375" s="132">
        <f ca="1">IF(Q375&gt;0,S375*100/Q375,0)</f>
        <v>31.459199999999999</v>
      </c>
      <c r="U375" s="132">
        <f ca="1">IF(R375&gt;0,S375*100/R375,0)</f>
        <v>31.459199999999999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45700</v>
      </c>
      <c r="M377" s="47">
        <f ca="1">M380+M383</f>
        <v>45700</v>
      </c>
      <c r="N377" s="47">
        <f ca="1">N380+N383</f>
        <v>10320</v>
      </c>
      <c r="O377" s="47">
        <f ca="1">IF(L377&gt;0,N377*100/L377,0)</f>
        <v>22.582056892778994</v>
      </c>
      <c r="P377" s="47">
        <f ca="1">IF(M377&gt;0,N377*100/M377,0)</f>
        <v>22.582056892778994</v>
      </c>
      <c r="Q377" s="47">
        <f ca="1">Q380+Q383</f>
        <v>62500</v>
      </c>
      <c r="R377" s="47">
        <f ca="1">R380+R383</f>
        <v>62500</v>
      </c>
      <c r="S377" s="47">
        <f ca="1">S380+S383</f>
        <v>19662</v>
      </c>
      <c r="T377" s="47">
        <f ca="1">IF(Q377&gt;0,S377*100/Q377,0)</f>
        <v>31.459199999999999</v>
      </c>
      <c r="U377" s="47">
        <f ca="1">IF(R377&gt;0,S377*100/R377,0)</f>
        <v>31.459199999999999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45700</v>
      </c>
      <c r="M378" s="47">
        <f ca="1">M379+M380</f>
        <v>45700</v>
      </c>
      <c r="N378" s="47">
        <f ca="1">N379+N380</f>
        <v>10320</v>
      </c>
      <c r="O378" s="47">
        <f ca="1">IF(L378&gt;0,N378*100/L378,0)</f>
        <v>22.582056892778994</v>
      </c>
      <c r="P378" s="47">
        <f ca="1">IF(M378&gt;0,N378*100/M378,0)</f>
        <v>22.582056892778994</v>
      </c>
      <c r="Q378" s="47">
        <f ca="1">Q379+Q380</f>
        <v>62500</v>
      </c>
      <c r="R378" s="47">
        <f ca="1">R379+R380</f>
        <v>62500</v>
      </c>
      <c r="S378" s="47">
        <f ca="1">S379+S380</f>
        <v>19662</v>
      </c>
      <c r="T378" s="47">
        <f ca="1">IF(Q378&gt;0,S378*100/Q378,0)</f>
        <v>31.459199999999999</v>
      </c>
      <c r="U378" s="47">
        <f ca="1">IF(R378&gt;0,S378*100/R378,0)</f>
        <v>31.459199999999999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IFERROR(__xludf.DUMMYFUNCTION("IMPORTRANGE(""https://docs.google.com/spreadsheets/d/1-uDff_7J0KD5mKrp0Vvzr7lt3OU09vwQwhkpOPPYv2Y/edit?usp=sharing"",""งบพรบ!IE75"")"),45700)</f>
        <v>45700</v>
      </c>
      <c r="M380" s="47">
        <f ca="1">IFERROR(__xludf.DUMMYFUNCTION("IMPORTRANGE(""https://docs.google.com/spreadsheets/d/1-uDff_7J0KD5mKrp0Vvzr7lt3OU09vwQwhkpOPPYv2Y/edit?usp=sharing"",""งบพรบ!IJ75"")"),45700)</f>
        <v>45700</v>
      </c>
      <c r="N380" s="47">
        <f ca="1">IFERROR(__xludf.DUMMYFUNCTION("IMPORTRANGE(""https://docs.google.com/spreadsheets/d/1-uDff_7J0KD5mKrp0Vvzr7lt3OU09vwQwhkpOPPYv2Y/edit?usp=sharing"",""งบพรบ!IL75"")"),10320)</f>
        <v>10320</v>
      </c>
      <c r="O380" s="47">
        <f ca="1">IF(L380&gt;0,N380*100/L380,0)</f>
        <v>22.582056892778994</v>
      </c>
      <c r="P380" s="47">
        <f ca="1">IF(M380&gt;0,N380*100/M380,0)</f>
        <v>22.582056892778994</v>
      </c>
      <c r="Q380" s="47">
        <f ca="1">IFERROR(__xludf.DUMMYFUNCTION("IMPORTRANGE(""https://docs.google.com/spreadsheets/d/1ItG2mGa2ceCfYo0BwxsXqNm01IGEUdYcSSLTEv9YCik/edit?usp=sharing"",""เบิกจ่ายกองทุน!BW75"")"),62500)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IFERROR(__xludf.DUMMYFUNCTION("IMPORTRANGE(""https://docs.google.com/spreadsheets/d/1ItG2mGa2ceCfYo0BwxsXqNm01IGEUdYcSSLTEv9YCik/edit?usp=sharing"",""เบิกจ่ายกองทุน!BX75"")"),62500)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IFERROR(__xludf.DUMMYFUNCTION("IMPORTRANGE(""https://docs.google.com/spreadsheets/d/1ItG2mGa2ceCfYo0BwxsXqNm01IGEUdYcSSLTEv9YCik/edit?usp=sharing"",""เบิกจ่ายกองทุน!BY75"")"),19662)</f>
        <v>19662</v>
      </c>
      <c r="T380" s="47">
        <f ca="1">IF(Q380&gt;0,S380*100/Q380,0)</f>
        <v>31.459199999999999</v>
      </c>
      <c r="U380" s="47">
        <f ca="1">IF(R380&gt;0,S380*100/R380,0)</f>
        <v>31.459199999999999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IFERROR(__xludf.DUMMYFUNCTION("IMPORTRANGE(""https://docs.google.com/spreadsheets/d/1-uDff_7J0KD5mKrp0Vvzr7lt3OU09vwQwhkpOPPYv2Y/edit?usp=sharing"",""งบพรบ!IH75"")"),0)</f>
        <v>0</v>
      </c>
      <c r="M383" s="47">
        <f ca="1">IFERROR(__xludf.DUMMYFUNCTION("IMPORTRANGE(""https://docs.google.com/spreadsheets/d/1-uDff_7J0KD5mKrp0Vvzr7lt3OU09vwQwhkpOPPYv2Y/edit?usp=sharing"",""งบพรบ!IK75"")"),0)</f>
        <v>0</v>
      </c>
      <c r="N383" s="47">
        <f ca="1">IFERROR(__xludf.DUMMYFUNCTION("IMPORTRANGE(""https://docs.google.com/spreadsheets/d/1-uDff_7J0KD5mKrp0Vvzr7lt3OU09vwQwhkpOPPYv2Y/edit?usp=sharing"",""งบพรบ!IM75"")"),0)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IFERROR(__xludf.DUMMYFUNCTION("IMPORTRANGE(""https://docs.google.com/spreadsheets/d/1w5rwWK1o49a35cNtocGL0gxDwhFSTZUQu90BiH9_zqM/edit?usp=sharing"",""RTK!G75"")"),1000)</f>
        <v>1000</v>
      </c>
      <c r="J386" s="152">
        <f ca="1">IFERROR(__xludf.DUMMYFUNCTION("IMPORTRANGE(""https://docs.google.com/spreadsheets/d/1w5rwWK1o49a35cNtocGL0gxDwhFSTZUQu90BiH9_zqM/edit?usp=sharing"",""RTK!I75"")"),0)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IFERROR(__xludf.DUMMYFUNCTION("IMPORTRANGE(""https://docs.google.com/spreadsheets/d/1w5rwWK1o49a35cNtocGL0gxDwhFSTZUQu90BiH9_zqM/edit?usp=sharing"",""RTK!K75"")"),0)</f>
        <v>0</v>
      </c>
      <c r="J388" s="330">
        <f ca="1">IFERROR(__xludf.DUMMYFUNCTION("IMPORTRANGE(""https://docs.google.com/spreadsheets/d/1w5rwWK1o49a35cNtocGL0gxDwhFSTZUQu90BiH9_zqM/edit?usp=sharing"",""RTK!M75"")"),0)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51370</v>
      </c>
      <c r="M413" s="132">
        <f ca="1">M414+M415</f>
        <v>183870</v>
      </c>
      <c r="N413" s="132">
        <f ca="1">N414+N415</f>
        <v>132500</v>
      </c>
      <c r="O413" s="132">
        <f ca="1">IF(L413&gt;0,N413*100/L413,0)</f>
        <v>257.93264551294527</v>
      </c>
      <c r="P413" s="132">
        <f ca="1">IF(M413&gt;0,N413*100/M413,0)</f>
        <v>72.061782781312886</v>
      </c>
      <c r="Q413" s="132">
        <f ca="1">Q414+Q415</f>
        <v>16200</v>
      </c>
      <c r="R413" s="132">
        <f ca="1">R414+R415</f>
        <v>16200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51370</v>
      </c>
      <c r="M415" s="47">
        <f ca="1">M418+M421</f>
        <v>183870</v>
      </c>
      <c r="N415" s="47">
        <f ca="1">N418+N421</f>
        <v>132500</v>
      </c>
      <c r="O415" s="47">
        <f ca="1">IF(L415&gt;0,N415*100/L415,0)</f>
        <v>257.93264551294527</v>
      </c>
      <c r="P415" s="47">
        <f ca="1">IF(M415&gt;0,N415*100/M415,0)</f>
        <v>72.061782781312886</v>
      </c>
      <c r="Q415" s="47">
        <f ca="1">Q418+Q421</f>
        <v>16200</v>
      </c>
      <c r="R415" s="47">
        <f ca="1">R418+R421</f>
        <v>16200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51370</v>
      </c>
      <c r="M416" s="47">
        <f ca="1">M417+M418</f>
        <v>183870</v>
      </c>
      <c r="N416" s="47">
        <f ca="1">N417+N418</f>
        <v>132500</v>
      </c>
      <c r="O416" s="47">
        <f ca="1">IF(L416&gt;0,N416*100/L416,0)</f>
        <v>257.93264551294527</v>
      </c>
      <c r="P416" s="47">
        <f ca="1">IF(M416&gt;0,N416*100/M416,0)</f>
        <v>72.061782781312886</v>
      </c>
      <c r="Q416" s="47">
        <f ca="1">Q417+Q418</f>
        <v>16200</v>
      </c>
      <c r="R416" s="47">
        <f ca="1">R417+R418</f>
        <v>16200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IFERROR(__xludf.DUMMYFUNCTION("IMPORTRANGE(""https://docs.google.com/spreadsheets/d/1-uDff_7J0KD5mKrp0Vvzr7lt3OU09vwQwhkpOPPYv2Y/edit?usp=sharing"",""งบพรบ!IO75"")"),51370)</f>
        <v>51370</v>
      </c>
      <c r="M418" s="47">
        <f ca="1">IFERROR(__xludf.DUMMYFUNCTION("IMPORTRANGE(""https://docs.google.com/spreadsheets/d/1-uDff_7J0KD5mKrp0Vvzr7lt3OU09vwQwhkpOPPYv2Y/edit?usp=sharing"",""งบพรบ!IT75"")"),183870)</f>
        <v>183870</v>
      </c>
      <c r="N418" s="47">
        <f ca="1">IFERROR(__xludf.DUMMYFUNCTION("IMPORTRANGE(""https://docs.google.com/spreadsheets/d/1-uDff_7J0KD5mKrp0Vvzr7lt3OU09vwQwhkpOPPYv2Y/edit?usp=sharing"",""งบพรบ!IV75"")"),132500)</f>
        <v>132500</v>
      </c>
      <c r="O418" s="47">
        <f ca="1">IF(L418&gt;0,N418*100/L418,0)</f>
        <v>257.93264551294527</v>
      </c>
      <c r="P418" s="47">
        <f ca="1">IF(M418&gt;0,N418*100/M418,0)</f>
        <v>72.061782781312886</v>
      </c>
      <c r="Q418" s="47">
        <f ca="1">IFERROR(__xludf.DUMMYFUNCTION("IMPORTRANGE(""https://docs.google.com/spreadsheets/d/1ItG2mGa2ceCfYo0BwxsXqNm01IGEUdYcSSLTEv9YCik/edit?usp=sharing"",""เบิกจ่ายกองทุน!BZ75"")"),16200)</f>
        <v>16200</v>
      </c>
      <c r="R418" s="47">
        <f ca="1">IFERROR(__xludf.DUMMYFUNCTION("IMPORTRANGE(""https://docs.google.com/spreadsheets/d/1ItG2mGa2ceCfYo0BwxsXqNm01IGEUdYcSSLTEv9YCik/edit?usp=sharing"",""เบิกจ่ายกองทุน!CA75"")"),16200)</f>
        <v>16200</v>
      </c>
      <c r="S418" s="47">
        <f ca="1">IFERROR(__xludf.DUMMYFUNCTION("IMPORTRANGE(""https://docs.google.com/spreadsheets/d/1ItG2mGa2ceCfYo0BwxsXqNm01IGEUdYcSSLTEv9YCik/edit?usp=sharing"",""เบิกจ่ายกองทุน!CB75"")"),0)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IFERROR(__xludf.DUMMYFUNCTION("IMPORTRANGE(""https://docs.google.com/spreadsheets/d/1-uDff_7J0KD5mKrp0Vvzr7lt3OU09vwQwhkpOPPYv2Y/edit?usp=sharing"",""งบพรบ!IR75"")"),0)</f>
        <v>0</v>
      </c>
      <c r="M421" s="47">
        <f ca="1">IFERROR(__xludf.DUMMYFUNCTION("IMPORTRANGE(""https://docs.google.com/spreadsheets/d/1-uDff_7J0KD5mKrp0Vvzr7lt3OU09vwQwhkpOPPYv2Y/edit?usp=sharing"",""งบพรบ!IU75"")"),0)</f>
        <v>0</v>
      </c>
      <c r="N421" s="47">
        <f ca="1">IFERROR(__xludf.DUMMYFUNCTION("IMPORTRANGE(""https://docs.google.com/spreadsheets/d/1-uDff_7J0KD5mKrp0Vvzr7lt3OU09vwQwhkpOPPYv2Y/edit?usp=sharing"",""งบพรบ!IW75"")"),0)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IFERROR(__xludf.DUMMYFUNCTION("IMPORTRANGE(""https://docs.google.com/spreadsheets/d/1eHaY18a8A9IcSdp1K8H6x8fbOy06t2VsZHhMHf-1x7Y/edit?usp=sharing"",""แผน!HJ75"")"),0)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IFERROR(__xludf.DUMMYFUNCTION("IMPORTRANGE(""https://docs.google.com/spreadsheets/d/1eHaY18a8A9IcSdp1K8H6x8fbOy06t2VsZHhMHf-1x7Y/edit?usp=sharing"",""แผน!HK75"")"),0)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IFERROR(__xludf.DUMMYFUNCTION("IMPORTRANGE(""https://docs.google.com/spreadsheets/d/1eHaY18a8A9IcSdp1K8H6x8fbOy06t2VsZHhMHf-1x7Y/edit?usp=sharing"",""แผน!HJ75"")"),0)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IFERROR(__xludf.DUMMYFUNCTION("IMPORTRANGE(""https://docs.google.com/spreadsheets/d/1eHaY18a8A9IcSdp1K8H6x8fbOy06t2VsZHhMHf-1x7Y/edit?usp=sharing"",""แผน!HK75"")"),0)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IFERROR(__xludf.DUMMYFUNCTION("IMPORTRANGE(""https://docs.google.com/spreadsheets/d/1eHaY18a8A9IcSdp1K8H6x8fbOy06t2VsZHhMHf-1x7Y/edit?usp=sharing"",""แผน!HJ75"")"),0)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IFERROR(__xludf.DUMMYFUNCTION("IMPORTRANGE(""https://docs.google.com/spreadsheets/d/1eHaY18a8A9IcSdp1K8H6x8fbOy06t2VsZHhMHf-1x7Y/edit?usp=sharing"",""แผน!HK75"")"),0)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167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IFERROR(__xludf.DUMMYFUNCTION("IMPORTRANGE(""https://docs.google.com/spreadsheets/d/1eHaY18a8A9IcSdp1K8H6x8fbOy06t2VsZHhMHf-1x7Y/edit?usp=sharing"",""แผน!HL75"")"),167)</f>
        <v>167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IFERROR(__xludf.DUMMYFUNCTION("IMPORTRANGE(""https://docs.google.com/spreadsheets/d/1eHaY18a8A9IcSdp1K8H6x8fbOy06t2VsZHhMHf-1x7Y/edit?usp=sharing"",""แผน!HM75"")"),0)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100</v>
      </c>
      <c r="J492" s="310">
        <f>J503</f>
        <v>51</v>
      </c>
      <c r="K492" s="311">
        <f ca="1">IF(I492&gt;0,J492*100/I492,0)</f>
        <v>51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47800</v>
      </c>
      <c r="M493" s="132">
        <f ca="1">M494+M495</f>
        <v>47800</v>
      </c>
      <c r="N493" s="132">
        <f ca="1">N494+N495</f>
        <v>2700</v>
      </c>
      <c r="O493" s="132">
        <f ca="1">IF(L493&gt;0,N493*100/L493,0)</f>
        <v>5.6485355648535567</v>
      </c>
      <c r="P493" s="132">
        <f ca="1">IF(M493&gt;0,N493*100/M493,0)</f>
        <v>5.6485355648535567</v>
      </c>
      <c r="Q493" s="132">
        <f ca="1">Q494+Q495</f>
        <v>1169450</v>
      </c>
      <c r="R493" s="132">
        <f ca="1">R494+R495</f>
        <v>1177150</v>
      </c>
      <c r="S493" s="132">
        <f ca="1">S494+S495</f>
        <v>247268.59</v>
      </c>
      <c r="T493" s="132">
        <f ca="1">IF(Q493&gt;0,S493*100/Q493,0)</f>
        <v>21.144007011843176</v>
      </c>
      <c r="U493" s="132">
        <f ca="1">IF(R493&gt;0,S493*100/R493,0)</f>
        <v>21.005699358620397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47800</v>
      </c>
      <c r="M495" s="47">
        <f ca="1">M498+M501</f>
        <v>47800</v>
      </c>
      <c r="N495" s="47">
        <f ca="1">N498+N501</f>
        <v>2700</v>
      </c>
      <c r="O495" s="47">
        <f ca="1">IF(L495&gt;0,N495*100/L495,0)</f>
        <v>5.6485355648535567</v>
      </c>
      <c r="P495" s="47">
        <f ca="1">IF(M495&gt;0,N495*100/M495,0)</f>
        <v>5.6485355648535567</v>
      </c>
      <c r="Q495" s="47">
        <f ca="1">Q498+Q501</f>
        <v>1169450</v>
      </c>
      <c r="R495" s="47">
        <f ca="1">R498+R501</f>
        <v>1177150</v>
      </c>
      <c r="S495" s="47">
        <f ca="1">S498+S501</f>
        <v>247268.59</v>
      </c>
      <c r="T495" s="47">
        <f ca="1">IF(Q495&gt;0,S495*100/Q495,0)</f>
        <v>21.144007011843176</v>
      </c>
      <c r="U495" s="47">
        <f ca="1">IF(R495&gt;0,S495*100/R495,0)</f>
        <v>21.005699358620397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47800</v>
      </c>
      <c r="M496" s="47">
        <f ca="1">M497+M498</f>
        <v>47800</v>
      </c>
      <c r="N496" s="47">
        <f ca="1">N497+N498</f>
        <v>2700</v>
      </c>
      <c r="O496" s="47">
        <f ca="1">IF(L496&gt;0,N496*100/L496,0)</f>
        <v>5.6485355648535567</v>
      </c>
      <c r="P496" s="47">
        <f ca="1">IF(M496&gt;0,N496*100/M496,0)</f>
        <v>5.6485355648535567</v>
      </c>
      <c r="Q496" s="47">
        <f ca="1">Q497+Q498</f>
        <v>1169450</v>
      </c>
      <c r="R496" s="47">
        <f ca="1">R497+R498</f>
        <v>1177150</v>
      </c>
      <c r="S496" s="47">
        <f ca="1">S497+S498</f>
        <v>247268.59</v>
      </c>
      <c r="T496" s="47">
        <f ca="1">IF(Q496&gt;0,S496*100/Q496,0)</f>
        <v>21.144007011843176</v>
      </c>
      <c r="U496" s="47">
        <f ca="1">IF(R496&gt;0,S496*100/R496,0)</f>
        <v>21.005699358620397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IFERROR(__xludf.DUMMYFUNCTION("IMPORTRANGE(""https://docs.google.com/spreadsheets/d/1-uDff_7J0KD5mKrp0Vvzr7lt3OU09vwQwhkpOPPYv2Y/edit?usp=sharing"",""งบพรบ!HU75"")"),47800)</f>
        <v>47800</v>
      </c>
      <c r="M498" s="47">
        <f ca="1">IFERROR(__xludf.DUMMYFUNCTION("IMPORTRANGE(""https://docs.google.com/spreadsheets/d/1-uDff_7J0KD5mKrp0Vvzr7lt3OU09vwQwhkpOPPYv2Y/edit?usp=sharing"",""งบพรบ!HZ75"")"),47800)</f>
        <v>47800</v>
      </c>
      <c r="N498" s="47">
        <f ca="1">IFERROR(__xludf.DUMMYFUNCTION("IMPORTRANGE(""https://docs.google.com/spreadsheets/d/1-uDff_7J0KD5mKrp0Vvzr7lt3OU09vwQwhkpOPPYv2Y/edit?usp=sharing"",""งบพรบ!IB75"")"),2700)</f>
        <v>2700</v>
      </c>
      <c r="O498" s="47">
        <f ca="1">IF(L498&gt;0,N498*100/L498,0)</f>
        <v>5.6485355648535567</v>
      </c>
      <c r="P498" s="47">
        <f ca="1">IF(M498&gt;0,N498*100/M498,0)</f>
        <v>5.6485355648535567</v>
      </c>
      <c r="Q498" s="47">
        <f ca="1">IFERROR(__xludf.DUMMYFUNCTION("IMPORTRANGE(""https://docs.google.com/spreadsheets/d/1ItG2mGa2ceCfYo0BwxsXqNm01IGEUdYcSSLTEv9YCik/edit?usp=sharing"",""เบิกจ่ายกองทุน!AD75"")"),1169450)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IFERROR(__xludf.DUMMYFUNCTION("IMPORTRANGE(""https://docs.google.com/spreadsheets/d/1ItG2mGa2ceCfYo0BwxsXqNm01IGEUdYcSSLTEv9YCik/edit?usp=sharing"",""เบิกจ่ายกองทุน!AE75"")"),1177150)</f>
        <v>1177150</v>
      </c>
      <c r="S498" s="47">
        <f ca="1">IFERROR(__xludf.DUMMYFUNCTION("IMPORTRANGE(""https://docs.google.com/spreadsheets/d/1ItG2mGa2ceCfYo0BwxsXqNm01IGEUdYcSSLTEv9YCik/edit?usp=sharing"",""เบิกจ่ายกองทุน!AF75"")"),247268.59)</f>
        <v>247268.59</v>
      </c>
      <c r="T498" s="47">
        <f ca="1">IF(Q498&gt;0,S498*100/Q498,0)</f>
        <v>21.144007011843176</v>
      </c>
      <c r="U498" s="47">
        <f ca="1">IF(R498&gt;0,S498*100/R498,0)</f>
        <v>21.005699358620397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IFERROR(__xludf.DUMMYFUNCTION("IMPORTRANGE(""https://docs.google.com/spreadsheets/d/1-uDff_7J0KD5mKrp0Vvzr7lt3OU09vwQwhkpOPPYv2Y/edit?usp=sharing"",""งบพรบ!HX75"")"),0)</f>
        <v>0</v>
      </c>
      <c r="M501" s="47">
        <f ca="1">IFERROR(__xludf.DUMMYFUNCTION("IMPORTRANGE(""https://docs.google.com/spreadsheets/d/1-uDff_7J0KD5mKrp0Vvzr7lt3OU09vwQwhkpOPPYv2Y/edit?usp=sharing"",""งบพรบ!IA75"")"),0)</f>
        <v>0</v>
      </c>
      <c r="N501" s="47">
        <f ca="1">IFERROR(__xludf.DUMMYFUNCTION("IMPORTRANGE(""https://docs.google.com/spreadsheets/d/1-uDff_7J0KD5mKrp0Vvzr7lt3OU09vwQwhkpOPPYv2Y/edit?usp=sharing"",""งบพรบ!IC75"")"),0)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IFERROR(__xludf.DUMMYFUNCTION("IMPORTRANGE(""https://docs.google.com/spreadsheets/d/1eHaY18a8A9IcSdp1K8H6x8fbOy06t2VsZHhMHf-1x7Y/edit?usp=sharing"",""แผน!GX75"")"),100)</f>
        <v>100</v>
      </c>
      <c r="J503" s="147">
        <f>J505</f>
        <v>51</v>
      </c>
      <c r="K503" s="132">
        <f ca="1">IF(I503&gt;0,J503*100/I503,0)</f>
        <v>51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IFERROR(__xludf.DUMMYFUNCTION("IMPORTRANGE(""https://docs.google.com/spreadsheets/d/1eHaY18a8A9IcSdp1K8H6x8fbOy06t2VsZHhMHf-1x7Y/edit?usp=sharing"",""แผน!GY75"")"),100)</f>
        <v>100</v>
      </c>
      <c r="J504" s="167">
        <v>49</v>
      </c>
      <c r="K504" s="47">
        <f ca="1">IF(I504&gt;0,J504*100/I504,0)</f>
        <v>49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IFERROR(__xludf.DUMMYFUNCTION("IMPORTRANGE(""https://docs.google.com/spreadsheets/d/1eHaY18a8A9IcSdp1K8H6x8fbOy06t2VsZHhMHf-1x7Y/edit?usp=sharing"",""แผน!GZ75"")"),100)</f>
        <v>100</v>
      </c>
      <c r="J505" s="167">
        <v>51</v>
      </c>
      <c r="K505" s="47">
        <f ca="1">IF(I505&gt;0,J505*100/I505,0)</f>
        <v>51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IFERROR(__xludf.DUMMYFUNCTION("IMPORTRANGE(""https://docs.google.com/spreadsheets/d/1eHaY18a8A9IcSdp1K8H6x8fbOy06t2VsZHhMHf-1x7Y/edit?usp=sharing"",""แผน!HA75"")"),100)</f>
        <v>100</v>
      </c>
      <c r="J506" s="167">
        <v>49</v>
      </c>
      <c r="K506" s="47">
        <f ca="1">IF(I506&gt;0,J506*100/I506,0)</f>
        <v>49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IFERROR(__xludf.DUMMYFUNCTION("IMPORTRANGE(""https://docs.google.com/spreadsheets/d/1eHaY18a8A9IcSdp1K8H6x8fbOy06t2VsZHhMHf-1x7Y/edit?usp=sharing"",""แผน!HB75"")"),20)</f>
        <v>20</v>
      </c>
      <c r="J507" s="167"/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x14ac:dyDescent="0.3">
      <c r="A511" s="642" t="s">
        <v>206</v>
      </c>
      <c r="B511" s="640"/>
      <c r="C511" s="640"/>
      <c r="D511" s="641"/>
      <c r="E511" s="640"/>
      <c r="F511" s="640"/>
      <c r="G511" s="640"/>
      <c r="H511" s="639"/>
      <c r="I511" s="638"/>
      <c r="J511" s="638"/>
      <c r="K511" s="637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x14ac:dyDescent="0.3">
      <c r="A512" s="635"/>
      <c r="B512" s="634" t="s">
        <v>207</v>
      </c>
      <c r="C512" s="633"/>
      <c r="D512" s="632"/>
      <c r="E512" s="632"/>
      <c r="F512" s="632"/>
      <c r="G512" s="631"/>
      <c r="H512" s="630" t="s">
        <v>61</v>
      </c>
      <c r="I512" s="629">
        <f>I524</f>
        <v>1</v>
      </c>
      <c r="J512" s="629">
        <f>J524</f>
        <v>0</v>
      </c>
      <c r="K512" s="628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416"/>
      <c r="B513" s="424"/>
      <c r="C513" s="386" t="s">
        <v>18</v>
      </c>
      <c r="D513" s="418" t="s">
        <v>19</v>
      </c>
      <c r="E513" s="424"/>
      <c r="F513" s="424"/>
      <c r="G513" s="425"/>
      <c r="H513" s="627" t="s">
        <v>14</v>
      </c>
      <c r="I513" s="420"/>
      <c r="J513" s="420"/>
      <c r="K513" s="332"/>
      <c r="L513" s="550">
        <f ca="1">L514+L515</f>
        <v>33423500</v>
      </c>
      <c r="M513" s="132">
        <f ca="1">M514+M515</f>
        <v>33423500</v>
      </c>
      <c r="N513" s="132">
        <f ca="1">N514+N515</f>
        <v>33423500</v>
      </c>
      <c r="O513" s="132">
        <f ca="1">IF(L513&gt;0,N513*100/L513,0)</f>
        <v>100</v>
      </c>
      <c r="P513" s="132">
        <f ca="1">IF(M513&gt;0,N513*100/M513,0)</f>
        <v>100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623"/>
      <c r="B514" s="622"/>
      <c r="C514" s="622"/>
      <c r="D514" s="622"/>
      <c r="E514" s="157" t="s">
        <v>20</v>
      </c>
      <c r="F514" s="622"/>
      <c r="G514" s="621"/>
      <c r="H514" s="158" t="s">
        <v>14</v>
      </c>
      <c r="I514" s="626"/>
      <c r="J514" s="626"/>
      <c r="K514" s="625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416"/>
      <c r="B515" s="424"/>
      <c r="C515" s="424"/>
      <c r="D515" s="424"/>
      <c r="E515" s="423" t="s">
        <v>21</v>
      </c>
      <c r="F515" s="424"/>
      <c r="G515" s="425"/>
      <c r="H515" s="329" t="s">
        <v>14</v>
      </c>
      <c r="I515" s="420"/>
      <c r="J515" s="420"/>
      <c r="K515" s="332"/>
      <c r="L515" s="548">
        <f ca="1">L518+L521</f>
        <v>33423500</v>
      </c>
      <c r="M515" s="47">
        <f ca="1">M518+M521</f>
        <v>33423500</v>
      </c>
      <c r="N515" s="47">
        <f ca="1">N518+N521</f>
        <v>33423500</v>
      </c>
      <c r="O515" s="47">
        <f ca="1">IF(L515&gt;0,N515*100/L515,0)</f>
        <v>100</v>
      </c>
      <c r="P515" s="47">
        <f ca="1">IF(M515&gt;0,N515*100/M515,0)</f>
        <v>100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416"/>
      <c r="B516" s="424"/>
      <c r="C516" s="424"/>
      <c r="D516" s="624" t="s">
        <v>22</v>
      </c>
      <c r="E516" s="424"/>
      <c r="F516" s="424"/>
      <c r="G516" s="425"/>
      <c r="H516" s="426" t="s">
        <v>14</v>
      </c>
      <c r="I516" s="428"/>
      <c r="J516" s="428"/>
      <c r="K516" s="429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623"/>
      <c r="B517" s="622"/>
      <c r="C517" s="622"/>
      <c r="D517" s="622"/>
      <c r="E517" s="157" t="s">
        <v>36</v>
      </c>
      <c r="F517" s="622"/>
      <c r="G517" s="621"/>
      <c r="H517" s="160" t="s">
        <v>14</v>
      </c>
      <c r="I517" s="620"/>
      <c r="J517" s="620"/>
      <c r="K517" s="619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416"/>
      <c r="B518" s="424"/>
      <c r="C518" s="424"/>
      <c r="D518" s="424"/>
      <c r="E518" s="423" t="s">
        <v>37</v>
      </c>
      <c r="F518" s="424"/>
      <c r="G518" s="425"/>
      <c r="H518" s="426" t="s">
        <v>14</v>
      </c>
      <c r="I518" s="428"/>
      <c r="J518" s="428"/>
      <c r="K518" s="429"/>
      <c r="L518" s="548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416"/>
      <c r="B519" s="424"/>
      <c r="C519" s="424"/>
      <c r="D519" s="624" t="s">
        <v>23</v>
      </c>
      <c r="E519" s="424"/>
      <c r="F519" s="424"/>
      <c r="G519" s="425"/>
      <c r="H519" s="431" t="s">
        <v>14</v>
      </c>
      <c r="I519" s="428"/>
      <c r="J519" s="428"/>
      <c r="K519" s="429"/>
      <c r="L519" s="548">
        <f ca="1">L520+L521</f>
        <v>33423500</v>
      </c>
      <c r="M519" s="47">
        <f ca="1">M520+M521</f>
        <v>33423500</v>
      </c>
      <c r="N519" s="47">
        <f ca="1">N520+N521</f>
        <v>33423500</v>
      </c>
      <c r="O519" s="47">
        <f ca="1">IF(L519&gt;0,N519*100/L519,0)</f>
        <v>100</v>
      </c>
      <c r="P519" s="47">
        <f ca="1">IF(M519&gt;0,N519*100/M519,0)</f>
        <v>100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623"/>
      <c r="B520" s="622"/>
      <c r="C520" s="622"/>
      <c r="D520" s="622"/>
      <c r="E520" s="157" t="s">
        <v>20</v>
      </c>
      <c r="F520" s="622"/>
      <c r="G520" s="621"/>
      <c r="H520" s="160" t="s">
        <v>14</v>
      </c>
      <c r="I520" s="620"/>
      <c r="J520" s="620"/>
      <c r="K520" s="619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416"/>
      <c r="B521" s="424"/>
      <c r="C521" s="424"/>
      <c r="D521" s="424"/>
      <c r="E521" s="423" t="s">
        <v>21</v>
      </c>
      <c r="F521" s="424"/>
      <c r="G521" s="425"/>
      <c r="H521" s="431" t="s">
        <v>14</v>
      </c>
      <c r="I521" s="428"/>
      <c r="J521" s="428"/>
      <c r="K521" s="429"/>
      <c r="L521" s="548">
        <f ca="1">IFERROR(__xludf.DUMMYFUNCTION("IMPORTRANGE(""https://docs.google.com/spreadsheets/d/1-uDff_7J0KD5mKrp0Vvzr7lt3OU09vwQwhkpOPPYv2Y/edit?usp=sharing"",""งบพรบ!FP75"")"),33423500)</f>
        <v>33423500</v>
      </c>
      <c r="M521" s="47">
        <f ca="1">IFERROR(__xludf.DUMMYFUNCTION("IMPORTRANGE(""https://docs.google.com/spreadsheets/d/1-uDff_7J0KD5mKrp0Vvzr7lt3OU09vwQwhkpOPPYv2Y/edit?usp=sharing"",""งบพรบ!FS75"")"),33423500)</f>
        <v>33423500</v>
      </c>
      <c r="N521" s="47">
        <f ca="1">IFERROR(__xludf.DUMMYFUNCTION("IMPORTRANGE(""https://docs.google.com/spreadsheets/d/1-uDff_7J0KD5mKrp0Vvzr7lt3OU09vwQwhkpOPPYv2Y/edit?usp=sharing"",""งบพรบ!FU75"")"),33423500)</f>
        <v>33423500</v>
      </c>
      <c r="O521" s="47">
        <f ca="1">IF(L521&gt;0,N521*100/L521,0)</f>
        <v>100</v>
      </c>
      <c r="P521" s="47">
        <f ca="1">IF(M521&gt;0,N521*100/M521,0)</f>
        <v>100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432"/>
      <c r="B522" s="433"/>
      <c r="C522" s="386" t="s">
        <v>18</v>
      </c>
      <c r="D522" s="618" t="s">
        <v>38</v>
      </c>
      <c r="E522" s="435"/>
      <c r="F522" s="435"/>
      <c r="G522" s="436"/>
      <c r="H522" s="439"/>
      <c r="I522" s="428"/>
      <c r="J522" s="420"/>
      <c r="K522" s="332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617"/>
      <c r="B523" s="424"/>
      <c r="C523" s="326"/>
      <c r="D523" s="555" t="s">
        <v>208</v>
      </c>
      <c r="E523" s="433"/>
      <c r="F523" s="424"/>
      <c r="G523" s="425"/>
      <c r="H523" s="616" t="s">
        <v>11</v>
      </c>
      <c r="I523" s="330">
        <v>0</v>
      </c>
      <c r="J523" s="554">
        <v>0</v>
      </c>
      <c r="K523" s="331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617"/>
      <c r="B524" s="424"/>
      <c r="C524" s="326"/>
      <c r="D524" s="555" t="s">
        <v>209</v>
      </c>
      <c r="E524" s="433"/>
      <c r="F524" s="424"/>
      <c r="G524" s="425"/>
      <c r="H524" s="616" t="s">
        <v>61</v>
      </c>
      <c r="I524" s="330">
        <v>1</v>
      </c>
      <c r="J524" s="554">
        <v>0</v>
      </c>
      <c r="K524" s="331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608"/>
      <c r="B532" s="607"/>
      <c r="C532" s="607"/>
      <c r="D532" s="606"/>
      <c r="E532" s="606"/>
      <c r="F532" s="606"/>
      <c r="G532" s="605"/>
      <c r="H532" s="604"/>
      <c r="I532" s="603"/>
      <c r="J532" s="603"/>
      <c r="K532" s="602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601"/>
      <c r="B533" s="600" t="s">
        <v>210</v>
      </c>
      <c r="C533" s="599"/>
      <c r="D533" s="598"/>
      <c r="E533" s="598"/>
      <c r="F533" s="598"/>
      <c r="G533" s="597"/>
      <c r="H533" s="596" t="s">
        <v>61</v>
      </c>
      <c r="I533" s="595">
        <f>I545</f>
        <v>0</v>
      </c>
      <c r="J533" s="595">
        <f>J545</f>
        <v>0</v>
      </c>
      <c r="K533" s="594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386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IFERROR(__xludf.DUMMYFUNCTION("IMPORTRANGE(""https://docs.google.com/spreadsheets/d/1-uDff_7J0KD5mKrp0Vvzr7lt3OU09vwQwhkpOPPYv2Y/edit?usp=sharing"",""งบพรบ!FW75"")"),0)</f>
        <v>0</v>
      </c>
      <c r="M539" s="47">
        <f ca="1">IFERROR(__xludf.DUMMYFUNCTION("IMPORTRANGE(""https://docs.google.com/spreadsheets/d/1-uDff_7J0KD5mKrp0Vvzr7lt3OU09vwQwhkpOPPYv2Y/edit?usp=sharing"",""งบพรบ!GB75"")"),0)</f>
        <v>0</v>
      </c>
      <c r="N539" s="47">
        <f ca="1">IFERROR(__xludf.DUMMYFUNCTION("IMPORTRANGE(""https://docs.google.com/spreadsheets/d/1-uDff_7J0KD5mKrp0Vvzr7lt3OU09vwQwhkpOPPYv2Y/edit?usp=sharing"",""งบพรบ!GD75"")"),0)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IFERROR(__xludf.DUMMYFUNCTION("IMPORTRANGE(""https://docs.google.com/spreadsheets/d/1-uDff_7J0KD5mKrp0Vvzr7lt3OU09vwQwhkpOPPYv2Y/edit?usp=sharing"",""งบพรบ!FZ75"")"),0)</f>
        <v>0</v>
      </c>
      <c r="M542" s="47">
        <f ca="1">IFERROR(__xludf.DUMMYFUNCTION("IMPORTRANGE(""https://docs.google.com/spreadsheets/d/1-uDff_7J0KD5mKrp0Vvzr7lt3OU09vwQwhkpOPPYv2Y/edit?usp=sharing"",""งบพรบ!GC75"")"),0)</f>
        <v>0</v>
      </c>
      <c r="N542" s="47">
        <f ca="1">IFERROR(__xludf.DUMMYFUNCTION("IMPORTRANGE(""https://docs.google.com/spreadsheets/d/1-uDff_7J0KD5mKrp0Vvzr7lt3OU09vwQwhkpOPPYv2Y/edit?usp=sharing"",""งบพรบ!GE75"")"),0)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IFERROR(__xludf.DUMMYFUNCTION("IMPORTRANGE(""https://docs.google.com/spreadsheets/d/1-uDff_7J0KD5mKrp0Vvzr7lt3OU09vwQwhkpOPPYv2Y/edit?usp=sharing"",""งบพรบ!GG75"")"),0)</f>
        <v>0</v>
      </c>
      <c r="M560" s="47">
        <f ca="1">IFERROR(__xludf.DUMMYFUNCTION("IMPORTRANGE(""https://docs.google.com/spreadsheets/d/1-uDff_7J0KD5mKrp0Vvzr7lt3OU09vwQwhkpOPPYv2Y/edit?usp=sharing"",""งบพรบ!GL75"")"),0)</f>
        <v>0</v>
      </c>
      <c r="N560" s="47">
        <f ca="1">IFERROR(__xludf.DUMMYFUNCTION("IMPORTRANGE(""https://docs.google.com/spreadsheets/d/1-uDff_7J0KD5mKrp0Vvzr7lt3OU09vwQwhkpOPPYv2Y/edit?usp=sharing"",""งบพรบ!GN75"")"),0)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IFERROR(__xludf.DUMMYFUNCTION("IMPORTRANGE(""https://docs.google.com/spreadsheets/d/1-uDff_7J0KD5mKrp0Vvzr7lt3OU09vwQwhkpOPPYv2Y/edit?usp=sharing"",""งบพรบ!GJ75"")"),0)</f>
        <v>0</v>
      </c>
      <c r="M563" s="47">
        <f ca="1">IFERROR(__xludf.DUMMYFUNCTION("IMPORTRANGE(""https://docs.google.com/spreadsheets/d/1-uDff_7J0KD5mKrp0Vvzr7lt3OU09vwQwhkpOPPYv2Y/edit?usp=sharing"",""งบพรบ!GM75"")"),0)</f>
        <v>0</v>
      </c>
      <c r="N563" s="47">
        <f ca="1">IFERROR(__xludf.DUMMYFUNCTION("IMPORTRANGE(""https://docs.google.com/spreadsheets/d/1-uDff_7J0KD5mKrp0Vvzr7lt3OU09vwQwhkpOPPYv2Y/edit?usp=sharing"",""งบพรบ!GO75"")"),0)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289514</v>
      </c>
      <c r="M576" s="132">
        <f ca="1">M577+M578</f>
        <v>289514</v>
      </c>
      <c r="N576" s="132">
        <f ca="1">N577+N578</f>
        <v>1440</v>
      </c>
      <c r="O576" s="132">
        <f ca="1">IF(L576&gt;0,N576*100/L576,0)</f>
        <v>0.49738527325103449</v>
      </c>
      <c r="P576" s="132">
        <f ca="1">IF(M576&gt;0,N576*100/M576,0)</f>
        <v>0.49738527325103449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289514</v>
      </c>
      <c r="M578" s="47">
        <f ca="1">M581+M584</f>
        <v>289514</v>
      </c>
      <c r="N578" s="47">
        <f ca="1">N581+N584</f>
        <v>1440</v>
      </c>
      <c r="O578" s="47">
        <f ca="1">IF(L578&gt;0,N578*100/L578,0)</f>
        <v>0.49738527325103449</v>
      </c>
      <c r="P578" s="47">
        <f ca="1">IF(M578&gt;0,N578*100/M578,0)</f>
        <v>0.49738527325103449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289514</v>
      </c>
      <c r="M579" s="47">
        <f ca="1">M580+M581</f>
        <v>289514</v>
      </c>
      <c r="N579" s="47">
        <f ca="1">N580+N581</f>
        <v>1440</v>
      </c>
      <c r="O579" s="47">
        <f ca="1">IF(L579&gt;0,N579*100/L579,0)</f>
        <v>0.49738527325103449</v>
      </c>
      <c r="P579" s="47">
        <f ca="1">IF(M579&gt;0,N579*100/M579,0)</f>
        <v>0.49738527325103449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IFERROR(__xludf.DUMMYFUNCTION("IMPORTRANGE(""https://docs.google.com/spreadsheets/d/1-uDff_7J0KD5mKrp0Vvzr7lt3OU09vwQwhkpOPPYv2Y/edit?usp=sharing"",""งบพรบ!GQ75"")"),289514)</f>
        <v>289514</v>
      </c>
      <c r="M581" s="47">
        <f ca="1">IFERROR(__xludf.DUMMYFUNCTION("IMPORTRANGE(""https://docs.google.com/spreadsheets/d/1-uDff_7J0KD5mKrp0Vvzr7lt3OU09vwQwhkpOPPYv2Y/edit?usp=sharing"",""งบพรบ!GV75"")"),289514)</f>
        <v>289514</v>
      </c>
      <c r="N581" s="47">
        <f ca="1">IFERROR(__xludf.DUMMYFUNCTION("IMPORTRANGE(""https://docs.google.com/spreadsheets/d/1-uDff_7J0KD5mKrp0Vvzr7lt3OU09vwQwhkpOPPYv2Y/edit?usp=sharing"",""งบพรบ!GX75"")"),1440)</f>
        <v>1440</v>
      </c>
      <c r="O581" s="47">
        <f ca="1">IF(L581&gt;0,N581*100/L581,0)</f>
        <v>0.49738527325103449</v>
      </c>
      <c r="P581" s="47">
        <f ca="1">IF(M581&gt;0,N581*100/M581,0)</f>
        <v>0.49738527325103449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IFERROR(__xludf.DUMMYFUNCTION("IMPORTRANGE(""https://docs.google.com/spreadsheets/d/1-uDff_7J0KD5mKrp0Vvzr7lt3OU09vwQwhkpOPPYv2Y/edit?usp=sharing"",""งบพรบ!GT75"")"),0)</f>
        <v>0</v>
      </c>
      <c r="M584" s="47">
        <f ca="1">IFERROR(__xludf.DUMMYFUNCTION("IMPORTRANGE(""https://docs.google.com/spreadsheets/d/1-uDff_7J0KD5mKrp0Vvzr7lt3OU09vwQwhkpOPPYv2Y/edit?usp=sharing"",""งบพรบ!GW75"")"),0)</f>
        <v>0</v>
      </c>
      <c r="N584" s="47">
        <f ca="1">IFERROR(__xludf.DUMMYFUNCTION("IMPORTRANGE(""https://docs.google.com/spreadsheets/d/1-uDff_7J0KD5mKrp0Vvzr7lt3OU09vwQwhkpOPPYv2Y/edit?usp=sharing"",""งบพรบ!GY75"")"),0)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IFERROR(__xludf.DUMMYFUNCTION("IMPORTRANGE(""https://docs.google.com/spreadsheets/d/1-uDff_7J0KD5mKrp0Vvzr7lt3OU09vwQwhkpOPPYv2Y/edit?usp=sharing"",""งบพรบ!HK75"")"),0)</f>
        <v>0</v>
      </c>
      <c r="M604" s="47">
        <f ca="1">IFERROR(__xludf.DUMMYFUNCTION("IMPORTRANGE(""https://docs.google.com/spreadsheets/d/1-uDff_7J0KD5mKrp0Vvzr7lt3OU09vwQwhkpOPPYv2Y/edit?usp=sharing"",""งบพรบ!HP75"")"),0)</f>
        <v>0</v>
      </c>
      <c r="N604" s="47">
        <f ca="1">IFERROR(__xludf.DUMMYFUNCTION("IMPORTRANGE(""https://docs.google.com/spreadsheets/d/1-uDff_7J0KD5mKrp0Vvzr7lt3OU09vwQwhkpOPPYv2Y/edit?usp=sharing"",""งบพรบ!HR75"")"),0)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IFERROR(__xludf.DUMMYFUNCTION("IMPORTRANGE(""https://docs.google.com/spreadsheets/d/1ItG2mGa2ceCfYo0BwxsXqNm01IGEUdYcSSLTEv9YCik/edit?usp=sharing"",""เบิกจ่ายกองทุน!AX75"")"),0)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IFERROR(__xludf.DUMMYFUNCTION("IMPORTRANGE(""https://docs.google.com/spreadsheets/d/1-uDff_7J0KD5mKrp0Vvzr7lt3OU09vwQwhkpOPPYv2Y/edit?usp=sharing"",""งบพรบ!HN75"")"),0)</f>
        <v>0</v>
      </c>
      <c r="M607" s="47">
        <f ca="1">IFERROR(__xludf.DUMMYFUNCTION("IMPORTRANGE(""https://docs.google.com/spreadsheets/d/1-uDff_7J0KD5mKrp0Vvzr7lt3OU09vwQwhkpOPPYv2Y/edit?usp=sharing"",""งบพรบ!HQ75"")"),0)</f>
        <v>0</v>
      </c>
      <c r="N607" s="47">
        <f ca="1">IFERROR(__xludf.DUMMYFUNCTION("IMPORTRANGE(""https://docs.google.com/spreadsheets/d/1-uDff_7J0KD5mKrp0Vvzr7lt3OU09vwQwhkpOPPYv2Y/edit?usp=sharing"",""งบพรบ!HS75"")"),0)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IFERROR(__xludf.DUMMYFUNCTION("IMPORTRANGE(""https://docs.google.com/spreadsheets/d/1ItG2mGa2ceCfYo0BwxsXqNm01IGEUdYcSSLTEv9YCik/edit?usp=sharing"",""เบิกจ่ายกองทุน!BA75"")"),0)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1800</v>
      </c>
      <c r="R616" s="132">
        <f ca="1">R617+R618</f>
        <v>1800</v>
      </c>
      <c r="S616" s="132">
        <f ca="1">S617+S618</f>
        <v>945</v>
      </c>
      <c r="T616" s="132">
        <f ca="1">IF(Q616&gt;0,S616*100/Q616,0)</f>
        <v>52.5</v>
      </c>
      <c r="U616" s="132">
        <f ca="1">IF(R616&gt;0,S616*100/R616,0)</f>
        <v>52.5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1800</v>
      </c>
      <c r="R618" s="47">
        <f ca="1">R621+R624</f>
        <v>1800</v>
      </c>
      <c r="S618" s="47">
        <f ca="1">S621+S624</f>
        <v>945</v>
      </c>
      <c r="T618" s="47">
        <f ca="1">IF(Q618&gt;0,S618*100/Q618,0)</f>
        <v>52.5</v>
      </c>
      <c r="U618" s="47">
        <f ca="1">IF(R618&gt;0,S618*100/R618,0)</f>
        <v>52.5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1800</v>
      </c>
      <c r="R619" s="47">
        <f ca="1">R620+R621</f>
        <v>1800</v>
      </c>
      <c r="S619" s="47">
        <f ca="1">S620+S621</f>
        <v>945</v>
      </c>
      <c r="T619" s="47">
        <f ca="1">IF(Q619&gt;0,S619*100/Q619,0)</f>
        <v>52.5</v>
      </c>
      <c r="U619" s="47">
        <f ca="1">IF(R619&gt;0,S619*100/R619,0)</f>
        <v>52.5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ca="1">IF(Q621&gt;0,S621*100/Q621,0)</f>
        <v>52.5</v>
      </c>
      <c r="U621" s="47">
        <f ca="1">IF(R621&gt;0,S621*100/R621,0)</f>
        <v>52.5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IFERROR(__xludf.DUMMYFUNCTION("IMPORTRANGE(""https://docs.google.com/spreadsheets/d/1eHaY18a8A9IcSdp1K8H6x8fbOy06t2VsZHhMHf-1x7Y/edit?usp=sharing"",""แผน!IC75"")"),1)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IFERROR(__xludf.DUMMYFUNCTION("IMPORTRANGE(""https://docs.google.com/spreadsheets/d/1eHaY18a8A9IcSdp1K8H6x8fbOy06t2VsZHhMHf-1x7Y/edit?usp=sharing"",""แผน!IF75"")"),0)</f>
        <v>0</v>
      </c>
      <c r="J652" s="15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IFERROR(__xludf.DUMMYFUNCTION("IMPORTRANGE(""https://docs.google.com/spreadsheets/d/1eHaY18a8A9IcSdp1K8H6x8fbOy06t2VsZHhMHf-1x7Y/edit?usp=sharing"",""แผน!IG75"")"),0)</f>
        <v>0</v>
      </c>
      <c r="J653" s="15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IFERROR(__xludf.DUMMYFUNCTION("IMPORTRANGE(""https://docs.google.com/spreadsheets/d/1eHaY18a8A9IcSdp1K8H6x8fbOy06t2VsZHhMHf-1x7Y/edit?usp=sharing"",""แผน!IL75"")"),0)</f>
        <v>0</v>
      </c>
      <c r="J673" s="15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IFERROR(__xludf.DUMMYFUNCTION("IMPORTRANGE(""https://docs.google.com/spreadsheets/d/1eHaY18a8A9IcSdp1K8H6x8fbOy06t2VsZHhMHf-1x7Y/edit?usp=sharing"",""แผน!IO75"")"),0)</f>
        <v>0</v>
      </c>
      <c r="J676" s="15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IFERROR(__xludf.DUMMYFUNCTION("IMPORTRANGE(""https://docs.google.com/spreadsheets/d/1eHaY18a8A9IcSdp1K8H6x8fbOy06t2VsZHhMHf-1x7Y/edit?usp=sharing"",""แผน!IP75"")"),0)</f>
        <v>0</v>
      </c>
      <c r="J678" s="15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IFERROR(__xludf.DUMMYFUNCTION("IMPORTRANGE(""https://docs.google.com/spreadsheets/d/1eHaY18a8A9IcSdp1K8H6x8fbOy06t2VsZHhMHf-1x7Y/edit?usp=sharing"",""แผน!IQ75"")"),0)</f>
        <v>0</v>
      </c>
      <c r="J679" s="15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IFERROR(__xludf.DUMMYFUNCTION("IMPORTRANGE(""https://docs.google.com/spreadsheets/d/1eHaY18a8A9IcSdp1K8H6x8fbOy06t2VsZHhMHf-1x7Y/edit?usp=sharing"",""แผน!IR75"")"),0)</f>
        <v>0</v>
      </c>
      <c r="J681" s="15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79150</v>
      </c>
      <c r="R690" s="132">
        <f ca="1">R691+R692</f>
        <v>79150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79150</v>
      </c>
      <c r="R692" s="47">
        <f ca="1">R695+R698</f>
        <v>79150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79150</v>
      </c>
      <c r="R693" s="47">
        <f ca="1">R694+R695</f>
        <v>79150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IFERROR(__xludf.DUMMYFUNCTION("IMPORTRANGE(""https://docs.google.com/spreadsheets/d/1eHaY18a8A9IcSdp1K8H6x8fbOy06t2VsZHhMHf-1x7Y/edit?usp=sharing"",""แผน!LJ75"")"),0)</f>
        <v>0</v>
      </c>
      <c r="J703" s="15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IFERROR(__xludf.DUMMYFUNCTION("IMPORTRANGE(""https://docs.google.com/spreadsheets/d/1eHaY18a8A9IcSdp1K8H6x8fbOy06t2VsZHhMHf-1x7Y/edit?usp=sharing"",""แผน!LK75"")"),5)</f>
        <v>5</v>
      </c>
      <c r="J705" s="152">
        <f ca="1">IFERROR(__xludf.DUMMYFUNCTION("IMPORTRANGE(""https://docs.google.com/spreadsheets/d/1tdoBKaGub7dwA3U6UFTqxio9LNnvDCQjHKmttSEBsFQ/edit?usp=sharing"",""จัดที่ดิน!AR75"")"),0)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IFERROR(__xludf.DUMMYFUNCTION("IMPORTRANGE(""https://docs.google.com/spreadsheets/d/1eHaY18a8A9IcSdp1K8H6x8fbOy06t2VsZHhMHf-1x7Y/edit?usp=sharing"",""แผน!LJ75"")"),0)</f>
        <v>0</v>
      </c>
      <c r="J707" s="15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IFERROR(__xludf.DUMMYFUNCTION("IMPORTRANGE(""https://docs.google.com/spreadsheets/d/1eHaY18a8A9IcSdp1K8H6x8fbOy06t2VsZHhMHf-1x7Y/edit?usp=sharing"",""แผน!LK75"")"),5)</f>
        <v>5</v>
      </c>
      <c r="J709" s="152">
        <f ca="1">IFERROR(__xludf.DUMMYFUNCTION("IMPORTRANGE(""https://docs.google.com/spreadsheets/d/1tdoBKaGub7dwA3U6UFTqxio9LNnvDCQjHKmttSEBsFQ/edit?usp=sharing"",""จัดที่ดิน!BP75"")"),11)</f>
        <v>11</v>
      </c>
      <c r="K709" s="47">
        <f ca="1">IF(I709&gt;0,J709*100/I709,0)</f>
        <v>220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IFERROR(__xludf.DUMMYFUNCTION("IMPORTRANGE(""https://docs.google.com/spreadsheets/d/1eHaY18a8A9IcSdp1K8H6x8fbOy06t2VsZHhMHf-1x7Y/edit?usp=sharing"",""แผน!GA75"")"),16)</f>
        <v>16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IFERROR(__xludf.DUMMYFUNCTION("IMPORTRANGE(""https://docs.google.com/spreadsheets/d/1eHaY18a8A9IcSdp1K8H6x8fbOy06t2VsZHhMHf-1x7Y/edit?usp=sharing"",""แผน!FZ75"")"),150)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175838</v>
      </c>
      <c r="S728" s="132">
        <f ca="1">S729+S730</f>
        <v>50315</v>
      </c>
      <c r="T728" s="132">
        <f ca="1">IF(Q728&gt;0,S728*100/Q728,0)</f>
        <v>35.077873366890223</v>
      </c>
      <c r="U728" s="132">
        <f ca="1">IF(R728&gt;0,S728*100/R728,0)</f>
        <v>28.614406442293475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175838</v>
      </c>
      <c r="S730" s="47">
        <f ca="1">S733+S736</f>
        <v>50315</v>
      </c>
      <c r="T730" s="47">
        <f ca="1">IF(Q730&gt;0,S730*100/Q730,0)</f>
        <v>35.077873366890223</v>
      </c>
      <c r="U730" s="47">
        <f ca="1">IF(R730&gt;0,S730*100/R730,0)</f>
        <v>28.614406442293475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175838</v>
      </c>
      <c r="S731" s="47">
        <f ca="1">S732+S733</f>
        <v>50315</v>
      </c>
      <c r="T731" s="47">
        <f ca="1">IF(Q731&gt;0,S731*100/Q731,0)</f>
        <v>35.077873366890223</v>
      </c>
      <c r="U731" s="47">
        <f ca="1">IF(R731&gt;0,S731*100/R731,0)</f>
        <v>28.614406442293475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3" s="47">
        <f ca="1">IFERROR(__xludf.DUMMYFUNCTION("IMPORTRANGE(""https://docs.google.com/spreadsheets/d/1ItG2mGa2ceCfYo0BwxsXqNm01IGEUdYcSSLTEv9YCik/edit?usp=sharing"",""เบิกจ่ายกองทุน!Q75"")"),50315)</f>
        <v>50315</v>
      </c>
      <c r="T733" s="47">
        <f ca="1">IF(Q733&gt;0,S733*100/Q733,0)</f>
        <v>35.077873366890223</v>
      </c>
      <c r="U733" s="47">
        <f ca="1">IF(R733&gt;0,S733*100/R733,0)</f>
        <v>28.614406442293475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IFERROR(__xludf.DUMMYFUNCTION("IMPORTRANGE(""https://docs.google.com/spreadsheets/d/1eHaY18a8A9IcSdp1K8H6x8fbOy06t2VsZHhMHf-1x7Y/edit?usp=sharing"",""แผน!GB75"")"),120)</f>
        <v>120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IFERROR(__xludf.DUMMYFUNCTION("IMPORTRANGE(""https://docs.google.com/spreadsheets/d/1eHaY18a8A9IcSdp1K8H6x8fbOy06t2VsZHhMHf-1x7Y/edit?usp=sharing"",""แผน!GC75"")"),12)</f>
        <v>12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IFERROR(__xludf.DUMMYFUNCTION("IMPORTRANGE(""https://docs.google.com/spreadsheets/d/1eHaY18a8A9IcSdp1K8H6x8fbOy06t2VsZHhMHf-1x7Y/edit?usp=sharing"",""แผน!GD75"")"),30)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IFERROR(__xludf.DUMMYFUNCTION("IMPORTRANGE(""https://docs.google.com/spreadsheets/d/1eHaY18a8A9IcSdp1K8H6x8fbOy06t2VsZHhMHf-1x7Y/edit?usp=sharing"",""แผน!GE75"")"),3)</f>
        <v>3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IFERROR(__xludf.DUMMYFUNCTION("IMPORTRANGE(""https://docs.google.com/spreadsheets/d/1eHaY18a8A9IcSdp1K8H6x8fbOy06t2VsZHhMHf-1x7Y/edit?usp=sharing"",""แผน!GF75"")"),1)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IFERROR(__xludf.DUMMYFUNCTION("IMPORTRANGE(""https://docs.google.com/spreadsheets/d/1eHaY18a8A9IcSdp1K8H6x8fbOy06t2VsZHhMHf-1x7Y/edit?usp=sharing"",""แผน!GB75"")"),120)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IFERROR(__xludf.DUMMYFUNCTION("IMPORTRANGE(""https://docs.google.com/spreadsheets/d/1eHaY18a8A9IcSdp1K8H6x8fbOy06t2VsZHhMHf-1x7Y/edit?usp=sharing"",""แผน!GD75"")"),30)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15</v>
      </c>
      <c r="J758" s="483">
        <f>J772</f>
        <v>15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45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134510</v>
      </c>
      <c r="R760" s="132">
        <f ca="1">R761+R762</f>
        <v>134510</v>
      </c>
      <c r="S760" s="132">
        <f ca="1">S761+S762</f>
        <v>132385</v>
      </c>
      <c r="T760" s="132">
        <f ca="1">IF(Q760&gt;0,S760*100/Q760,0)</f>
        <v>98.420191807300569</v>
      </c>
      <c r="U760" s="132">
        <f ca="1">IF(R760&gt;0,S760*100/R760,0)</f>
        <v>98.420191807300569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134510</v>
      </c>
      <c r="R762" s="47">
        <f ca="1">R765+R768</f>
        <v>134510</v>
      </c>
      <c r="S762" s="47">
        <f ca="1">S765+S768</f>
        <v>132385</v>
      </c>
      <c r="T762" s="47">
        <f ca="1">IF(Q762&gt;0,S762*100/Q762,0)</f>
        <v>98.420191807300569</v>
      </c>
      <c r="U762" s="47">
        <f ca="1">IF(R762&gt;0,S762*100/R762,0)</f>
        <v>98.420191807300569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134510</v>
      </c>
      <c r="R763" s="47">
        <f ca="1">R764+R765</f>
        <v>134510</v>
      </c>
      <c r="S763" s="47">
        <f ca="1">S764+S765</f>
        <v>132385</v>
      </c>
      <c r="T763" s="47">
        <f ca="1">IF(Q763&gt;0,S763*100/Q763,0)</f>
        <v>98.420191807300569</v>
      </c>
      <c r="U763" s="47">
        <f ca="1">IF(R763&gt;0,S763*100/R763,0)</f>
        <v>98.420191807300569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IFERROR(__xludf.DUMMYFUNCTION("IMPORTRANGE(""https://docs.google.com/spreadsheets/d/1ItG2mGa2ceCfYo0BwxsXqNm01IGEUdYcSSLTEv9YCik/edit?usp=sharing"",""เบิกจ่ายกองทุน!AB75"")"),134510)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IFERROR(__xludf.DUMMYFUNCTION("IMPORTRANGE(""https://docs.google.com/spreadsheets/d/1ItG2mGa2ceCfYo0BwxsXqNm01IGEUdYcSSLTEv9YCik/edit?usp=sharing"",""เบิกจ่ายกองทุน!AC75"")"),132385)</f>
        <v>132385</v>
      </c>
      <c r="T765" s="47">
        <f ca="1">IF(Q765&gt;0,S765*100/Q765,0)</f>
        <v>98.420191807300569</v>
      </c>
      <c r="U765" s="47">
        <f ca="1">IF(R765&gt;0,S765*100/R765,0)</f>
        <v>98.420191807300569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IFERROR(__xludf.DUMMYFUNCTION("IMPORTRANGE(""https://docs.google.com/spreadsheets/d/1eHaY18a8A9IcSdp1K8H6x8fbOy06t2VsZHhMHf-1x7Y/edit?usp=sharing"",""แผน!FI75"")"),1)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15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IFERROR(__xludf.DUMMYFUNCTION("IMPORTRANGE(""https://docs.google.com/spreadsheets/d/1eHaY18a8A9IcSdp1K8H6x8fbOy06t2VsZHhMHf-1x7Y/edit?usp=sharing"",""แผน!FT75"")"),15)</f>
        <v>15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152">
        <f ca="1">IFERROR(__xludf.DUMMYFUNCTION("IMPORTRANGE(""https://docs.google.com/spreadsheets/d/10OvvATaaLtwErnr3qtWFcTmtbfpFEt5Bsqel9sXx0uE/edit?usp=sharing"",""งานกองทุน!F75"")"),318338.55)</f>
        <v>318338.55</v>
      </c>
      <c r="K778" s="47">
        <f ca="1">IF(I778&gt;0,J778*100/I778,0)</f>
        <v>160.26046446346203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IFERROR(__xludf.DUMMYFUNCTION("IMPORTRANGE(""https://docs.google.com/spreadsheets/d/10OvvATaaLtwErnr3qtWFcTmtbfpFEt5Bsqel9sXx0uE/edit?usp=sharing"",""งานกองทุน!C75"")"),18)</f>
        <v>18</v>
      </c>
      <c r="J779" s="152">
        <f ca="1">IFERROR(__xludf.DUMMYFUNCTION("IMPORTRANGE(""https://docs.google.com/spreadsheets/d/10OvvATaaLtwErnr3qtWFcTmtbfpFEt5Bsqel9sXx0uE/edit?usp=sharing"",""งานกองทุน!E75"")"),26)</f>
        <v>26</v>
      </c>
      <c r="K779" s="47">
        <f ca="1">IF(I779&gt;0,J779*100/I779,0)</f>
        <v>144.44444444444446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152">
        <f ca="1">IFERROR(__xludf.DUMMYFUNCTION("IMPORTRANGE(""https://docs.google.com/spreadsheets/d/10OvvATaaLtwErnr3qtWFcTmtbfpFEt5Bsqel9sXx0uE/edit?usp=sharing"",""งานกองทุน!K75"")"),704101.67)</f>
        <v>704101.67</v>
      </c>
      <c r="K780" s="47">
        <f ca="1">IF(I780&gt;0,J780*100/I780,0)</f>
        <v>25.91979473721112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IFERROR(__xludf.DUMMYFUNCTION("IMPORTRANGE(""https://docs.google.com/spreadsheets/d/10OvvATaaLtwErnr3qtWFcTmtbfpFEt5Bsqel9sXx0uE/edit?usp=sharing"",""งานกองทุน!H75"")"),90)</f>
        <v>90</v>
      </c>
      <c r="J781" s="152">
        <f ca="1">IFERROR(__xludf.DUMMYFUNCTION("IMPORTRANGE(""https://docs.google.com/spreadsheets/d/10OvvATaaLtwErnr3qtWFcTmtbfpFEt5Bsqel9sXx0uE/edit?usp=sharing"",""งานกองทุน!J75"")"),67)</f>
        <v>67</v>
      </c>
      <c r="K781" s="47">
        <f ca="1">IF(I781&gt;0,J781*100/I781,0)</f>
        <v>74.444444444444443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IFERROR(__xludf.DUMMYFUNCTION("IMPORTRANGE(""https://docs.google.com/spreadsheets/d/10OvvATaaLtwErnr3qtWFcTmtbfpFEt5Bsqel9sXx0uE/edit?usp=sharing"",""งานกองทุน!N75"")"),0)</f>
        <v>0</v>
      </c>
      <c r="J782" s="152">
        <f ca="1">IFERROR(__xludf.DUMMYFUNCTION("IMPORTRANGE(""https://docs.google.com/spreadsheets/d/10OvvATaaLtwErnr3qtWFcTmtbfpFEt5Bsqel9sXx0uE/edit?usp=sharing"",""งานกองทุน!P75"")"),12234.09)</f>
        <v>12234.09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IFERROR(__xludf.DUMMYFUNCTION("IMPORTRANGE(""https://docs.google.com/spreadsheets/d/10OvvATaaLtwErnr3qtWFcTmtbfpFEt5Bsqel9sXx0uE/edit?usp=sharing"",""งานกองทุน!M75"")"),0)</f>
        <v>0</v>
      </c>
      <c r="J783" s="152">
        <f ca="1">IFERROR(__xludf.DUMMYFUNCTION("IMPORTRANGE(""https://docs.google.com/spreadsheets/d/10OvvATaaLtwErnr3qtWFcTmtbfpFEt5Bsqel9sXx0uE/edit?usp=sharing"",""งานกองทุน!O75"")"),0)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IFERROR(__xludf.DUMMYFUNCTION("IMPORTRANGE(""https://docs.google.com/spreadsheets/d/10OvvATaaLtwErnr3qtWFcTmtbfpFEt5Bsqel9sXx0uE/edit?usp=sharing"",""งานกองทุน!S75"")"),1120000)</f>
        <v>1120000</v>
      </c>
      <c r="J784" s="152">
        <f ca="1">IFERROR(__xludf.DUMMYFUNCTION("IMPORTRANGE(""https://docs.google.com/spreadsheets/d/10OvvATaaLtwErnr3qtWFcTmtbfpFEt5Bsqel9sXx0uE/edit?usp=sharing"",""งานกองทุน!U75"")"),400000)</f>
        <v>400000</v>
      </c>
      <c r="K784" s="47">
        <f ca="1">IF(I784&gt;0,J784*100/I784,0)</f>
        <v>35.714285714285715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IFERROR(__xludf.DUMMYFUNCTION("IMPORTRANGE(""https://docs.google.com/spreadsheets/d/10OvvATaaLtwErnr3qtWFcTmtbfpFEt5Bsqel9sXx0uE/edit?usp=sharing"",""งานกองทุน!R75"")"),40)</f>
        <v>40</v>
      </c>
      <c r="J785" s="197">
        <f ca="1">IFERROR(__xludf.DUMMYFUNCTION("IMPORTRANGE(""https://docs.google.com/spreadsheets/d/10OvvATaaLtwErnr3qtWFcTmtbfpFEt5Bsqel9sXx0uE/edit?usp=sharing"",""งานกองทุน!T75"")"),8)</f>
        <v>8</v>
      </c>
      <c r="K785" s="111">
        <f ca="1">IF(I785&gt;0,J785*100/I785,0)</f>
        <v>20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1889D-46B3-4969-AB70-78D9D9834B7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316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7790152</v>
      </c>
      <c r="M18" s="35">
        <f ca="1">M19+M20</f>
        <v>8136116</v>
      </c>
      <c r="N18" s="35">
        <f ca="1">N19+N20</f>
        <v>6959244.2300000004</v>
      </c>
      <c r="O18" s="35">
        <f ca="1">IF(L18&gt;0,N18*100/L18,0)</f>
        <v>89.333869608705967</v>
      </c>
      <c r="P18" s="35">
        <f ca="1">IF(M18&gt;0,N18*100/M18,0)</f>
        <v>85.53521397679188</v>
      </c>
      <c r="Q18" s="35">
        <f ca="1">Q19+Q20</f>
        <v>2651677.39</v>
      </c>
      <c r="R18" s="35">
        <f ca="1">R19+R20</f>
        <v>2683877</v>
      </c>
      <c r="S18" s="35">
        <f ca="1">S19+S20</f>
        <v>1207170.0899999999</v>
      </c>
      <c r="T18" s="35">
        <f ca="1">IF(Q18&gt;0,S18*100/Q18,0)</f>
        <v>45.524772151864212</v>
      </c>
      <c r="U18" s="35">
        <f ca="1">IF(R18&gt;0,S18*100/R18,0)</f>
        <v>44.978592163500778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7790152</v>
      </c>
      <c r="M20" s="39">
        <f ca="1">M23+M26</f>
        <v>8136116</v>
      </c>
      <c r="N20" s="39">
        <f ca="1">N23+N26</f>
        <v>6959244.2300000004</v>
      </c>
      <c r="O20" s="39">
        <f ca="1">IF(L20&gt;0,N20*100/L20,0)</f>
        <v>89.333869608705967</v>
      </c>
      <c r="P20" s="39">
        <f ca="1">IF(M20&gt;0,N20*100/M20,0)</f>
        <v>85.53521397679188</v>
      </c>
      <c r="Q20" s="39">
        <f ca="1">Q23+Q26</f>
        <v>2651677.39</v>
      </c>
      <c r="R20" s="39">
        <f ca="1">R23+R26</f>
        <v>2683877</v>
      </c>
      <c r="S20" s="39">
        <f ca="1">S23+S26</f>
        <v>1207170.0899999999</v>
      </c>
      <c r="T20" s="39">
        <f ca="1">IF(Q20&gt;0,S20*100/Q20,0)</f>
        <v>45.524772151864212</v>
      </c>
      <c r="U20" s="39">
        <f ca="1">IF(R20&gt;0,S20*100/R20,0)</f>
        <v>44.978592163500778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3273252</v>
      </c>
      <c r="M21" s="47">
        <f ca="1">M22+M23</f>
        <v>3832416</v>
      </c>
      <c r="N21" s="47">
        <f ca="1">N22+N23</f>
        <v>2655544.23</v>
      </c>
      <c r="O21" s="47">
        <f ca="1">IF(L21&gt;0,N21*100/L21,0)</f>
        <v>81.128621627665694</v>
      </c>
      <c r="P21" s="47">
        <f ca="1">IF(M21&gt;0,N21*100/M21,0)</f>
        <v>69.291648662358156</v>
      </c>
      <c r="Q21" s="47">
        <f ca="1">Q22+Q23</f>
        <v>2651677.39</v>
      </c>
      <c r="R21" s="47">
        <f ca="1">R22+R23</f>
        <v>2683877</v>
      </c>
      <c r="S21" s="47">
        <f ca="1">S22+S23</f>
        <v>1207170.0899999999</v>
      </c>
      <c r="T21" s="47">
        <f ca="1">IF(Q21&gt;0,S21*100/Q21,0)</f>
        <v>45.524772151864212</v>
      </c>
      <c r="U21" s="47">
        <f ca="1">IF(R21&gt;0,S21*100/R21,0)</f>
        <v>44.978592163500778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3273252</v>
      </c>
      <c r="M23" s="47">
        <f ca="1">M49+M64+M77+M99+M122+M144+M162+M191+M178+M271+M287+M308+M325+M338+M361+M380+M418+M498+M518+M539+M560+M581+M604+M621+M647+M695+M719+M733+M765</f>
        <v>3832416</v>
      </c>
      <c r="N23" s="47">
        <f ca="1">N49+N64+N77+N99+N122+N144+N162+N191+N178+N271+N287+N308+N325+N338+N361+N380+N418+N498+N518+N539+N560+N581+N604+N621+N647+N695+N719+N733+N765</f>
        <v>2655544.23</v>
      </c>
      <c r="O23" s="47">
        <f ca="1">IF(L23&gt;0,N23*100/L23,0)</f>
        <v>81.128621627665694</v>
      </c>
      <c r="P23" s="47">
        <f ca="1">IF(M23&gt;0,N23*100/M23,0)</f>
        <v>69.291648662358156</v>
      </c>
      <c r="Q23" s="47">
        <f ca="1">Q77+Q99+Q122+Q144+Q162+Q178+Q191+Q271+Q287+Q308+Q338+Q380+Q397+Q418+Q498+Q604+Q621+Q647+Q695+Q719+Q733+Q765</f>
        <v>2651677.39</v>
      </c>
      <c r="R23" s="47">
        <f ca="1">R77+R99+R122+R144+R162+R178+R191+R271+R287+R308+R338+R380+R397+R418+R498+R604+R621+R647+R695+R719+R733+R765</f>
        <v>2683877</v>
      </c>
      <c r="S23" s="47">
        <f ca="1">S77+S99+S122+S144+S162+S178+S191+S271+S287+S308+S338+S380+S397+S418+S498+S604+S621+S647+S695+S719+S733+S765</f>
        <v>1207170.0899999999</v>
      </c>
      <c r="T23" s="47">
        <f ca="1">IF(Q23&gt;0,S23*100/Q23,0)</f>
        <v>45.524772151864212</v>
      </c>
      <c r="U23" s="47">
        <f ca="1">IF(R23&gt;0,S23*100/R23,0)</f>
        <v>44.978592163500778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4516900</v>
      </c>
      <c r="M24" s="47">
        <f ca="1">M25+M26</f>
        <v>4303700</v>
      </c>
      <c r="N24" s="47">
        <f ca="1">N25+N26</f>
        <v>4303700</v>
      </c>
      <c r="O24" s="47">
        <f ca="1">IF(L24&gt;0,N24*100/L24,0)</f>
        <v>95.279948637339771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4516900</v>
      </c>
      <c r="M26" s="47">
        <f ca="1">M52+M67+M80+M102+M125+M147+M165+M194+M181+M274+M290+M311+M328+M341+M364+M383+M421+M501+M521+M542+M563+M584+M607+M624+M650+M698+M722+M736+M768</f>
        <v>4303700</v>
      </c>
      <c r="N26" s="47">
        <f ca="1">N52+N67+N80+N102+N125+N147+N165+N194+N181+N274+N290+N311+N328+N341+N364+N383+N421+N501+N521+N542+N563+N584+N607+N624+N650+N698+N722+N736+N768</f>
        <v>4303700</v>
      </c>
      <c r="O26" s="47">
        <f ca="1">IF(L26&gt;0,N26*100/L26,0)</f>
        <v>95.279948637339771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7220992</v>
      </c>
      <c r="M40" s="803">
        <f ca="1">M44+M59+M72+M94+M125+M139+M157+M173+M186+M266+M282+M303+M320+M333+M356</f>
        <v>7316956</v>
      </c>
      <c r="N40" s="803">
        <f ca="1">N44+N59+N72+N94+N125+N139+N157+N173+N186+N266+N282+N303+N320+N333+N356</f>
        <v>6448637.9800000004</v>
      </c>
      <c r="O40" s="803">
        <f ca="1">IF(L40&gt;0,N40*100/L40,0)</f>
        <v>89.304045482947501</v>
      </c>
      <c r="P40" s="803">
        <f ca="1">IF(M40&gt;0,N40*100/M40,0)</f>
        <v>88.13279702652305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616032</v>
      </c>
      <c r="M44" s="79">
        <f ca="1">M45+M46</f>
        <v>701466</v>
      </c>
      <c r="N44" s="79">
        <f ca="1">N45+N46</f>
        <v>563046</v>
      </c>
      <c r="O44" s="79">
        <f ca="1">IF(L44&gt;0,N44*100/L44,0)</f>
        <v>91.398823437743488</v>
      </c>
      <c r="P44" s="79">
        <f ca="1">IF(M44&gt;0,N44*100/M44,0)</f>
        <v>80.267040740392261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616032</v>
      </c>
      <c r="M46" s="83">
        <f ca="1">M49+M52</f>
        <v>701466</v>
      </c>
      <c r="N46" s="83">
        <f ca="1">N49+N52</f>
        <v>563046</v>
      </c>
      <c r="O46" s="83">
        <f ca="1">IF(L46&gt;0,N46*100/L46,0)</f>
        <v>91.398823437743488</v>
      </c>
      <c r="P46" s="83">
        <f ca="1">IF(M46&gt;0,N46*100/M46,0)</f>
        <v>80.267040740392261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616032</v>
      </c>
      <c r="M47" s="47">
        <f ca="1">M48+M49</f>
        <v>701466</v>
      </c>
      <c r="N47" s="47">
        <f ca="1">N48+N49</f>
        <v>563046</v>
      </c>
      <c r="O47" s="47">
        <f ca="1">IF(L47&gt;0,N47*100/L47,0)</f>
        <v>91.398823437743488</v>
      </c>
      <c r="P47" s="47">
        <f ca="1">IF(M47&gt;0,N47*100/M47,0)</f>
        <v>80.267040740392261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IFERROR(__xludf.DUMMYFUNCTION("IMPORTRANGE(""https://docs.google.com/spreadsheets/d/1-uDff_7J0KD5mKrp0Vvzr7lt3OU09vwQwhkpOPPYv2Y/edit?usp=sharing"",""งบพรบ!P76"")"),616032)</f>
        <v>616032</v>
      </c>
      <c r="M49" s="47">
        <f ca="1">IFERROR(__xludf.DUMMYFUNCTION("IMPORTRANGE(""https://docs.google.com/spreadsheets/d/1-uDff_7J0KD5mKrp0Vvzr7lt3OU09vwQwhkpOPPYv2Y/edit?usp=sharing"",""งบพรบ!V76"")"),701466)</f>
        <v>701466</v>
      </c>
      <c r="N49" s="47">
        <f ca="1">IFERROR(__xludf.DUMMYFUNCTION("IMPORTRANGE(""https://docs.google.com/spreadsheets/d/1-uDff_7J0KD5mKrp0Vvzr7lt3OU09vwQwhkpOPPYv2Y/edit?usp=sharing"",""งบพรบ!Y76"")"),563046)</f>
        <v>563046</v>
      </c>
      <c r="O49" s="47">
        <f ca="1">IF(L49&gt;0,N49*100/L49,0)</f>
        <v>91.398823437743488</v>
      </c>
      <c r="P49" s="47">
        <f ca="1">IF(M49&gt;0,N49*100/M49,0)</f>
        <v>80.267040740392261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724700</v>
      </c>
      <c r="M59" s="106">
        <f ca="1">M60+M61</f>
        <v>784240</v>
      </c>
      <c r="N59" s="106">
        <f ca="1">N60+N61</f>
        <v>747995.74</v>
      </c>
      <c r="O59" s="106">
        <f ca="1">IF(L59&gt;0,N59*100/L59,0)</f>
        <v>103.21453566993239</v>
      </c>
      <c r="P59" s="106">
        <f ca="1">IF(M59&gt;0,N59*100/M59,0)</f>
        <v>95.37842242170764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724700</v>
      </c>
      <c r="M61" s="109">
        <f ca="1">M64+M67</f>
        <v>784240</v>
      </c>
      <c r="N61" s="109">
        <f ca="1">N64+N67</f>
        <v>747995.74</v>
      </c>
      <c r="O61" s="109">
        <f ca="1">IF(L61&gt;0,N61*100/L61,0)</f>
        <v>103.21453566993239</v>
      </c>
      <c r="P61" s="109">
        <f ca="1">IF(M61&gt;0,N61*100/M61,0)</f>
        <v>95.37842242170764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694800</v>
      </c>
      <c r="M62" s="47">
        <f ca="1">M63+M64</f>
        <v>754340</v>
      </c>
      <c r="N62" s="47">
        <f ca="1">N63+N64</f>
        <v>718095.74</v>
      </c>
      <c r="O62" s="47">
        <f ca="1">IF(L62&gt;0,N62*100/L62,0)</f>
        <v>103.35286989061601</v>
      </c>
      <c r="P62" s="47">
        <f ca="1">IF(M62&gt;0,N62*100/M62,0)</f>
        <v>95.195235570167299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IFERROR(__xludf.DUMMYFUNCTION("IMPORTRANGE(""https://docs.google.com/spreadsheets/d/1-uDff_7J0KD5mKrp0Vvzr7lt3OU09vwQwhkpOPPYv2Y/edit?usp=sharing"",""งบพรบ!AC76"")"),694800)</f>
        <v>694800</v>
      </c>
      <c r="M64" s="47">
        <f ca="1">IFERROR(__xludf.DUMMYFUNCTION("IMPORTRANGE(""https://docs.google.com/spreadsheets/d/1-uDff_7J0KD5mKrp0Vvzr7lt3OU09vwQwhkpOPPYv2Y/edit?usp=sharing"",""งบพรบ!AH76"")"),754340)</f>
        <v>754340</v>
      </c>
      <c r="N64" s="47">
        <f ca="1">IFERROR(__xludf.DUMMYFUNCTION("IMPORTRANGE(""https://docs.google.com/spreadsheets/d/1-uDff_7J0KD5mKrp0Vvzr7lt3OU09vwQwhkpOPPYv2Y/edit?usp=sharing"",""งบพรบ!AJ76"")"),718095.74)</f>
        <v>718095.74</v>
      </c>
      <c r="O64" s="47">
        <f ca="1">IF(L64&gt;0,N64*100/L64,0)</f>
        <v>103.35286989061601</v>
      </c>
      <c r="P64" s="47">
        <f ca="1">IF(M64&gt;0,N64*100/M64,0)</f>
        <v>95.195235570167299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29900</v>
      </c>
      <c r="M65" s="47">
        <f ca="1">M66+M67</f>
        <v>29900</v>
      </c>
      <c r="N65" s="47">
        <f ca="1">N66+N67</f>
        <v>29900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IFERROR(__xludf.DUMMYFUNCTION("IMPORTRANGE(""https://docs.google.com/spreadsheets/d/1-uDff_7J0KD5mKrp0Vvzr7lt3OU09vwQwhkpOPPYv2Y/edit?usp=sharing"",""งบพรบ!AF76"")"),29900)</f>
        <v>29900</v>
      </c>
      <c r="M67" s="111">
        <f ca="1">IFERROR(__xludf.DUMMYFUNCTION("IMPORTRANGE(""https://docs.google.com/spreadsheets/d/1-uDff_7J0KD5mKrp0Vvzr7lt3OU09vwQwhkpOPPYv2Y/edit?usp=sharing"",""งบพรบ!AI76"")"),29900)</f>
        <v>29900</v>
      </c>
      <c r="N67" s="111">
        <f ca="1">IFERROR(__xludf.DUMMYFUNCTION("IMPORTRANGE(""https://docs.google.com/spreadsheets/d/1-uDff_7J0KD5mKrp0Vvzr7lt3OU09vwQwhkpOPPYv2Y/edit?usp=sharing"",""งบพรบ!AK76"")"),29900)</f>
        <v>29900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1</v>
      </c>
      <c r="K70" s="35">
        <f ca="1">IF(I70&gt;0,J70*100/I70,0)</f>
        <v>100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30</v>
      </c>
      <c r="K71" s="35">
        <f ca="1">IF(I71&gt;0,J71*100/I71,0)</f>
        <v>100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142000</v>
      </c>
      <c r="M72" s="132">
        <f ca="1">M73+M74</f>
        <v>142000</v>
      </c>
      <c r="N72" s="132">
        <f ca="1">N73+N74</f>
        <v>100701</v>
      </c>
      <c r="O72" s="132">
        <f ca="1">IF(L72&gt;0,N72*100/L72,0)</f>
        <v>70.916197183098589</v>
      </c>
      <c r="P72" s="132">
        <f ca="1">IF(M72&gt;0,N72*100/M72,0)</f>
        <v>70.916197183098589</v>
      </c>
      <c r="Q72" s="132">
        <f ca="1">Q73+Q74</f>
        <v>388700</v>
      </c>
      <c r="R72" s="132">
        <f ca="1">R73+R74</f>
        <v>388700</v>
      </c>
      <c r="S72" s="132">
        <f ca="1">S73+S74</f>
        <v>117490</v>
      </c>
      <c r="T72" s="132">
        <f ca="1">IF(Q72&gt;0,S72*100/Q72,0)</f>
        <v>30.226395677900694</v>
      </c>
      <c r="U72" s="132">
        <f ca="1">IF(R72&gt;0,S72*100/R72,0)</f>
        <v>30.226395677900694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142000</v>
      </c>
      <c r="M74" s="47">
        <f ca="1">M77+M80</f>
        <v>142000</v>
      </c>
      <c r="N74" s="47">
        <f ca="1">N77+N80</f>
        <v>100701</v>
      </c>
      <c r="O74" s="47">
        <f ca="1">IF(L74&gt;0,N74*100/L74,0)</f>
        <v>70.916197183098589</v>
      </c>
      <c r="P74" s="47">
        <f ca="1">IF(M74&gt;0,N74*100/M74,0)</f>
        <v>70.916197183098589</v>
      </c>
      <c r="Q74" s="47">
        <f ca="1">Q77+Q80</f>
        <v>388700</v>
      </c>
      <c r="R74" s="47">
        <f ca="1">R77+R80</f>
        <v>388700</v>
      </c>
      <c r="S74" s="47">
        <f ca="1">S77+S80</f>
        <v>117490</v>
      </c>
      <c r="T74" s="47">
        <f ca="1">IF(Q74&gt;0,S74*100/Q74,0)</f>
        <v>30.226395677900694</v>
      </c>
      <c r="U74" s="47">
        <f ca="1">IF(R74&gt;0,S74*100/R74,0)</f>
        <v>30.226395677900694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142000</v>
      </c>
      <c r="M75" s="47">
        <f ca="1">M76+M77</f>
        <v>142000</v>
      </c>
      <c r="N75" s="47">
        <f ca="1">N76+N77</f>
        <v>100701</v>
      </c>
      <c r="O75" s="47">
        <f ca="1">IF(L75&gt;0,N75*100/L75,0)</f>
        <v>70.916197183098589</v>
      </c>
      <c r="P75" s="47">
        <f ca="1">IF(M75&gt;0,N75*100/M75,0)</f>
        <v>70.916197183098589</v>
      </c>
      <c r="Q75" s="47">
        <f ca="1">Q76+Q77</f>
        <v>388700</v>
      </c>
      <c r="R75" s="47">
        <f ca="1">R76+R77</f>
        <v>388700</v>
      </c>
      <c r="S75" s="47">
        <f ca="1">S76+S77</f>
        <v>117490</v>
      </c>
      <c r="T75" s="47">
        <f ca="1">IF(Q75&gt;0,S75*100/Q75,0)</f>
        <v>30.226395677900694</v>
      </c>
      <c r="U75" s="47">
        <f ca="1">IF(R75&gt;0,S75*100/R75,0)</f>
        <v>30.226395677900694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IFERROR(__xludf.DUMMYFUNCTION("IMPORTRANGE(""https://docs.google.com/spreadsheets/d/1-uDff_7J0KD5mKrp0Vvzr7lt3OU09vwQwhkpOPPYv2Y/edit?usp=sharing"",""งบพรบ!AM76"")"),142000)</f>
        <v>142000</v>
      </c>
      <c r="M77" s="47">
        <f ca="1">IFERROR(__xludf.DUMMYFUNCTION("IMPORTRANGE(""https://docs.google.com/spreadsheets/d/1-uDff_7J0KD5mKrp0Vvzr7lt3OU09vwQwhkpOPPYv2Y/edit?usp=sharing"",""งบพรบ!AR76"")"),142000)</f>
        <v>142000</v>
      </c>
      <c r="N77" s="47">
        <f ca="1">IFERROR(__xludf.DUMMYFUNCTION("IMPORTRANGE(""https://docs.google.com/spreadsheets/d/1-uDff_7J0KD5mKrp0Vvzr7lt3OU09vwQwhkpOPPYv2Y/edit?usp=sharing"",""งบพรบ!AT76"")"),100701)</f>
        <v>100701</v>
      </c>
      <c r="O77" s="47">
        <f ca="1">IF(L77&gt;0,N77*100/L77,0)</f>
        <v>70.916197183098589</v>
      </c>
      <c r="P77" s="47">
        <f ca="1">IF(M77&gt;0,N77*100/M77,0)</f>
        <v>70.916197183098589</v>
      </c>
      <c r="Q77" s="47">
        <f ca="1">IFERROR(__xludf.DUMMYFUNCTION("IMPORTRANGE(""https://docs.google.com/spreadsheets/d/1ItG2mGa2ceCfYo0BwxsXqNm01IGEUdYcSSLTEv9YCik/edit?usp=sharing"",""เบิกจ่ายกองทุน!BH76"")"),388700)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IFERROR(__xludf.DUMMYFUNCTION("IMPORTRANGE(""https://docs.google.com/spreadsheets/d/1ItG2mGa2ceCfYo0BwxsXqNm01IGEUdYcSSLTEv9YCik/edit?usp=sharing"",""เบิกจ่ายกองทุน!BI76"")"),388700)</f>
        <v>388700</v>
      </c>
      <c r="S77" s="47">
        <f ca="1">IFERROR(__xludf.DUMMYFUNCTION("IMPORTRANGE(""https://docs.google.com/spreadsheets/d/1ItG2mGa2ceCfYo0BwxsXqNm01IGEUdYcSSLTEv9YCik/edit?usp=sharing"",""เบิกจ่ายกองทุน!BJ76"")"),117490)</f>
        <v>117490</v>
      </c>
      <c r="T77" s="47">
        <f ca="1">IF(Q77&gt;0,S77*100/Q77,0)</f>
        <v>30.226395677900694</v>
      </c>
      <c r="U77" s="47">
        <f ca="1">IF(R77&gt;0,S77*100/R77,0)</f>
        <v>30.226395677900694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1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30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IFERROR(__xludf.DUMMYFUNCTION("IMPORTRANGE(""https://docs.google.com/spreadsheets/d/1eHaY18a8A9IcSdp1K8H6x8fbOy06t2VsZHhMHf-1x7Y/edit?usp=sharing"",""แผน!F76"")"),1)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IFERROR(__xludf.DUMMYFUNCTION("IMPORTRANGE(""https://docs.google.com/spreadsheets/d/1eHaY18a8A9IcSdp1K8H6x8fbOy06t2VsZHhMHf-1x7Y/edit?usp=sharing"",""แผน!G76"")"),30)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IFERROR(__xludf.DUMMYFUNCTION("IMPORTRANGE(""https://docs.google.com/spreadsheets/d/1eHaY18a8A9IcSdp1K8H6x8fbOy06t2VsZHhMHf-1x7Y/edit?usp=sharing"",""แผน!J76"")"),1)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42650</v>
      </c>
      <c r="T94" s="132">
        <f ca="1">IF(Q94&gt;0,S94*100/Q94,0)</f>
        <v>50.521203506278134</v>
      </c>
      <c r="U94" s="132">
        <f ca="1">IF(R94&gt;0,S94*100/R94,0)</f>
        <v>50.521203506278134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42650</v>
      </c>
      <c r="T96" s="47">
        <f ca="1">IF(Q96&gt;0,S96*100/Q96,0)</f>
        <v>50.521203506278134</v>
      </c>
      <c r="U96" s="47">
        <f ca="1">IF(R96&gt;0,S96*100/R96,0)</f>
        <v>50.521203506278134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42650</v>
      </c>
      <c r="T97" s="47">
        <f ca="1">IF(Q97&gt;0,S97*100/Q97,0)</f>
        <v>50.521203506278134</v>
      </c>
      <c r="U97" s="47">
        <f ca="1">IF(R97&gt;0,S97*100/R97,0)</f>
        <v>50.521203506278134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IFERROR(__xludf.DUMMYFUNCTION("IMPORTRANGE(""https://docs.google.com/spreadsheets/d/1-uDff_7J0KD5mKrp0Vvzr7lt3OU09vwQwhkpOPPYv2Y/edit?usp=sharing"",""งบพรบ!AW76"")"),6000)</f>
        <v>6000</v>
      </c>
      <c r="M99" s="47">
        <f ca="1">IFERROR(__xludf.DUMMYFUNCTION("IMPORTRANGE(""https://docs.google.com/spreadsheets/d/1-uDff_7J0KD5mKrp0Vvzr7lt3OU09vwQwhkpOPPYv2Y/edit?usp=sharing"",""งบพรบ!BB76"")"),6000)</f>
        <v>6000</v>
      </c>
      <c r="N99" s="47">
        <f ca="1">IFERROR(__xludf.DUMMYFUNCTION("IMPORTRANGE(""https://docs.google.com/spreadsheets/d/1-uDff_7J0KD5mKrp0Vvzr7lt3OU09vwQwhkpOPPYv2Y/edit?usp=sharing"",""งบพรบ!BD76"")"),0)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IFERROR(__xludf.DUMMYFUNCTION("IMPORTRANGE(""https://docs.google.com/spreadsheets/d/1ItG2mGa2ceCfYo0BwxsXqNm01IGEUdYcSSLTEv9YCik/edit?usp=sharing"",""เบิกจ่ายกองทุน!AK76"")"),84420)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IFERROR(__xludf.DUMMYFUNCTION("IMPORTRANGE(""https://docs.google.com/spreadsheets/d/1ItG2mGa2ceCfYo0BwxsXqNm01IGEUdYcSSLTEv9YCik/edit?usp=sharing"",""เบิกจ่ายกองทุน!AL76"")"),42650)</f>
        <v>42650</v>
      </c>
      <c r="T99" s="47">
        <f ca="1">IF(Q99&gt;0,S99*100/Q99,0)</f>
        <v>50.521203506278134</v>
      </c>
      <c r="U99" s="47">
        <f ca="1">IF(R99&gt;0,S99*100/R99,0)</f>
        <v>50.521203506278134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IFERROR(__xludf.DUMMYFUNCTION("IMPORTRANGE(""https://docs.google.com/spreadsheets/d/1eHaY18a8A9IcSdp1K8H6x8fbOy06t2VsZHhMHf-1x7Y/edit?usp=sharing"",""แผน!N76"")"),30)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IFERROR(__xludf.DUMMYFUNCTION("IMPORTRANGE(""https://docs.google.com/spreadsheets/d/1eHaY18a8A9IcSdp1K8H6x8fbOy06t2VsZHhMHf-1x7Y/edit?usp=sharing"",""แผน!O76"")"),10)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IFERROR(__xludf.DUMMYFUNCTION("IMPORTRANGE(""https://docs.google.com/spreadsheets/d/1eHaY18a8A9IcSdp1K8H6x8fbOy06t2VsZHhMHf-1x7Y/edit?usp=sharing"",""แผน!N76"")"),30)</f>
        <v>30</v>
      </c>
      <c r="J113" s="175">
        <v>30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IFERROR(__xludf.DUMMYFUNCTION("IMPORTRANGE(""https://docs.google.com/spreadsheets/d/1eHaY18a8A9IcSdp1K8H6x8fbOy06t2VsZHhMHf-1x7Y/edit?usp=sharing"",""แผน!O76"")"),10)</f>
        <v>10</v>
      </c>
      <c r="J114" s="167">
        <v>10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162378</v>
      </c>
      <c r="T117" s="132">
        <f ca="1">IF(Q117&gt;0,S117*100/Q117,0)</f>
        <v>77.55922812380588</v>
      </c>
      <c r="U117" s="132">
        <f ca="1">IF(R117&gt;0,S117*100/R117,0)</f>
        <v>77.55922812380588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162378</v>
      </c>
      <c r="T119" s="47">
        <f ca="1">IF(Q119&gt;0,S119*100/Q119,0)</f>
        <v>77.55922812380588</v>
      </c>
      <c r="U119" s="47">
        <f ca="1">IF(R119&gt;0,S119*100/R119,0)</f>
        <v>77.55922812380588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162378</v>
      </c>
      <c r="T120" s="47">
        <f ca="1">IF(Q120&gt;0,S120*100/Q120,0)</f>
        <v>77.55922812380588</v>
      </c>
      <c r="U120" s="47">
        <f ca="1">IF(R120&gt;0,S120*100/R120,0)</f>
        <v>77.55922812380588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IFERROR(__xludf.DUMMYFUNCTION("IMPORTRANGE(""https://docs.google.com/spreadsheets/d/1ItG2mGa2ceCfYo0BwxsXqNm01IGEUdYcSSLTEv9YCik/edit?usp=sharing"",""เบิกจ่ายกองทุน!W76"")"),162378)</f>
        <v>162378</v>
      </c>
      <c r="T122" s="47">
        <f ca="1">IF(Q122&gt;0,S122*100/Q122,0)</f>
        <v>77.55922812380588</v>
      </c>
      <c r="U122" s="47">
        <f ca="1">IF(R122&gt;0,S122*100/R122,0)</f>
        <v>77.55922812380588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IFERROR(__xludf.DUMMYFUNCTION("IMPORTRANGE(""https://docs.google.com/spreadsheets/d/1eHaY18a8A9IcSdp1K8H6x8fbOy06t2VsZHhMHf-1x7Y/edit?usp=sharing"",""แผน!FG76"")"),1)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IFERROR(__xludf.DUMMYFUNCTION("IMPORTRANGE(""https://docs.google.com/spreadsheets/d/1eHaY18a8A9IcSdp1K8H6x8fbOy06t2VsZHhMHf-1x7Y/edit?usp=sharing"",""แผน!FI76"")"),1)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111200</v>
      </c>
      <c r="M139" s="132">
        <f ca="1">M140+M141</f>
        <v>106200</v>
      </c>
      <c r="N139" s="132">
        <f ca="1">N140+N141</f>
        <v>91845</v>
      </c>
      <c r="O139" s="132">
        <f ca="1">IF(L139&gt;0,N139*100/L139,0)</f>
        <v>82.594424460431654</v>
      </c>
      <c r="P139" s="132">
        <f ca="1">IF(M139&gt;0,N139*100/M139,0)</f>
        <v>86.483050847457633</v>
      </c>
      <c r="Q139" s="132">
        <f ca="1">Q140+Q141</f>
        <v>44860</v>
      </c>
      <c r="R139" s="132">
        <f ca="1">R140+R141</f>
        <v>44860</v>
      </c>
      <c r="S139" s="132">
        <f ca="1">S140+S141</f>
        <v>8810</v>
      </c>
      <c r="T139" s="132">
        <f ca="1">IF(Q139&gt;0,S139*100/Q139,0)</f>
        <v>19.638876504681232</v>
      </c>
      <c r="U139" s="132">
        <f ca="1">IF(R139&gt;0,S139*100/R139,0)</f>
        <v>19.638876504681232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111200</v>
      </c>
      <c r="M141" s="47">
        <f ca="1">M144+M147</f>
        <v>106200</v>
      </c>
      <c r="N141" s="47">
        <f ca="1">N144+N147</f>
        <v>91845</v>
      </c>
      <c r="O141" s="47">
        <f ca="1">IF(L141&gt;0,N141*100/L141,0)</f>
        <v>82.594424460431654</v>
      </c>
      <c r="P141" s="47">
        <f ca="1">IF(M141&gt;0,N141*100/M141,0)</f>
        <v>86.483050847457633</v>
      </c>
      <c r="Q141" s="47">
        <f ca="1">Q144+Q147</f>
        <v>44860</v>
      </c>
      <c r="R141" s="47">
        <f ca="1">R144+R147</f>
        <v>44860</v>
      </c>
      <c r="S141" s="47">
        <f ca="1">S144+S147</f>
        <v>8810</v>
      </c>
      <c r="T141" s="47">
        <f ca="1">IF(Q141&gt;0,S141*100/Q141,0)</f>
        <v>19.638876504681232</v>
      </c>
      <c r="U141" s="47">
        <f ca="1">IF(R141&gt;0,S141*100/R141,0)</f>
        <v>19.638876504681232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111200</v>
      </c>
      <c r="M142" s="47">
        <f ca="1">M143+M144</f>
        <v>106200</v>
      </c>
      <c r="N142" s="47">
        <f ca="1">N143+N144</f>
        <v>91845</v>
      </c>
      <c r="O142" s="47">
        <f ca="1">IF(L142&gt;0,N142*100/L142,0)</f>
        <v>82.594424460431654</v>
      </c>
      <c r="P142" s="47">
        <f ca="1">IF(M142&gt;0,N142*100/M142,0)</f>
        <v>86.483050847457633</v>
      </c>
      <c r="Q142" s="47">
        <f ca="1">Q143+Q144</f>
        <v>44860</v>
      </c>
      <c r="R142" s="47">
        <f ca="1">R143+R144</f>
        <v>44860</v>
      </c>
      <c r="S142" s="47">
        <f ca="1">S143+S144</f>
        <v>8810</v>
      </c>
      <c r="T142" s="47">
        <f ca="1">IF(Q142&gt;0,S142*100/Q142,0)</f>
        <v>19.638876504681232</v>
      </c>
      <c r="U142" s="47">
        <f ca="1">IF(R142&gt;0,S142*100/R142,0)</f>
        <v>19.638876504681232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IFERROR(__xludf.DUMMYFUNCTION("IMPORTRANGE(""https://docs.google.com/spreadsheets/d/1-uDff_7J0KD5mKrp0Vvzr7lt3OU09vwQwhkpOPPYv2Y/edit?usp=sharing"",""งบพรบ!BX76"")"),91845)</f>
        <v>91845</v>
      </c>
      <c r="O144" s="47">
        <f ca="1">IF(L144&gt;0,N144*100/L144,0)</f>
        <v>82.594424460431654</v>
      </c>
      <c r="P144" s="47">
        <f ca="1">IF(M144&gt;0,N144*100/M144,0)</f>
        <v>86.483050847457633</v>
      </c>
      <c r="Q144" s="47">
        <f ca="1">IFERROR(__xludf.DUMMYFUNCTION("IMPORTRANGE(""https://docs.google.com/spreadsheets/d/1ItG2mGa2ceCfYo0BwxsXqNm01IGEUdYcSSLTEv9YCik/edit?usp=sharing"",""เบิกจ่ายกองทุน!CF76"")"),44860)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IFERROR(__xludf.DUMMYFUNCTION("IMPORTRANGE(""https://docs.google.com/spreadsheets/d/1ItG2mGa2ceCfYo0BwxsXqNm01IGEUdYcSSLTEv9YCik/edit?usp=sharing"",""เบิกจ่ายกองทุน!CG76"")"),44860)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IFERROR(__xludf.DUMMYFUNCTION("IMPORTRANGE(""https://docs.google.com/spreadsheets/d/1ItG2mGa2ceCfYo0BwxsXqNm01IGEUdYcSSLTEv9YCik/edit?usp=sharing"",""เบิกจ่ายกองทุน!CH76"")"),8810)</f>
        <v>8810</v>
      </c>
      <c r="T144" s="47">
        <f ca="1">IF(Q144&gt;0,S144*100/Q144,0)</f>
        <v>19.638876504681232</v>
      </c>
      <c r="U144" s="47">
        <f ca="1">IF(R144&gt;0,S144*100/R144,0)</f>
        <v>19.638876504681232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IFERROR(__xludf.DUMMYFUNCTION("IMPORTRANGE(""https://docs.google.com/spreadsheets/d/1eHaY18a8A9IcSdp1K8H6x8fbOy06t2VsZHhMHf-1x7Y/edit?usp=sharing"",""แผน!W76"")"),20)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IFERROR(__xludf.DUMMYFUNCTION("IMPORTRANGE(""https://docs.google.com/spreadsheets/d/1eHaY18a8A9IcSdp1K8H6x8fbOy06t2VsZHhMHf-1x7Y/edit?usp=sharing"",""แผน!X76"")"),2)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27</v>
      </c>
      <c r="K156" s="35">
        <f ca="1">IF(I156&gt;0,J156*100/I156,0)</f>
        <v>180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11670</v>
      </c>
      <c r="N157" s="132">
        <f ca="1">N158+N159</f>
        <v>7825.41</v>
      </c>
      <c r="O157" s="132">
        <f ca="1">IF(L157&gt;0,N157*100/L157,0)</f>
        <v>173.898</v>
      </c>
      <c r="P157" s="132">
        <f ca="1">IF(M157&gt;0,N157*100/M157,0)</f>
        <v>67.055784061696656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11670</v>
      </c>
      <c r="N159" s="47">
        <f ca="1">N162+N165</f>
        <v>7825.41</v>
      </c>
      <c r="O159" s="47">
        <f ca="1">IF(L159&gt;0,N159*100/L159,0)</f>
        <v>173.898</v>
      </c>
      <c r="P159" s="47">
        <f ca="1">IF(M159&gt;0,N159*100/M159,0)</f>
        <v>67.055784061696656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11670</v>
      </c>
      <c r="N160" s="47">
        <f ca="1">N161+N162</f>
        <v>7825.41</v>
      </c>
      <c r="O160" s="47">
        <f ca="1">IF(L160&gt;0,N160*100/L160,0)</f>
        <v>173.898</v>
      </c>
      <c r="P160" s="47">
        <f ca="1">IF(M160&gt;0,N160*100/M160,0)</f>
        <v>67.055784061696656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IFERROR(__xludf.DUMMYFUNCTION("IMPORTRANGE(""https://docs.google.com/spreadsheets/d/1-uDff_7J0KD5mKrp0Vvzr7lt3OU09vwQwhkpOPPYv2Y/edit?usp=sharing"",""งบพรบ!CA76"")"),4500)</f>
        <v>4500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IFERROR(__xludf.DUMMYFUNCTION("IMPORTRANGE(""https://docs.google.com/spreadsheets/d/1-uDff_7J0KD5mKrp0Vvzr7lt3OU09vwQwhkpOPPYv2Y/edit?usp=sharing"",""งบพรบ!CH76"")"),7825.41)</f>
        <v>7825.41</v>
      </c>
      <c r="O162" s="47">
        <f ca="1">IF(L162&gt;0,N162*100/L162,0)</f>
        <v>173.898</v>
      </c>
      <c r="P162" s="47">
        <f ca="1">IF(M162&gt;0,N162*100/M162,0)</f>
        <v>67.055784061696656</v>
      </c>
      <c r="Q162" s="47">
        <f ca="1">IFERROR(__xludf.DUMMYFUNCTION("IMPORTRANGE(""https://docs.google.com/spreadsheets/d/1ItG2mGa2ceCfYo0BwxsXqNm01IGEUdYcSSLTEv9YCik/edit?usp=sharing"",""เบิกจ่ายกองทุน!AM76"")"),0)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386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IFERROR(__xludf.DUMMYFUNCTION("IMPORTRANGE(""https://docs.google.com/spreadsheets/d/1eHaY18a8A9IcSdp1K8H6x8fbOy06t2VsZHhMHf-1x7Y/edit?usp=sharing"",""แผน!Z76"")"),15)</f>
        <v>15</v>
      </c>
      <c r="J167" s="167">
        <v>27</v>
      </c>
      <c r="K167" s="47">
        <f ca="1">IF(I167&gt;0,J167*100/I167,0)</f>
        <v>180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I167</f>
        <v>15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IFERROR(__xludf.DUMMYFUNCTION("IMPORTRANGE(""https://docs.google.com/spreadsheets/d/1eHaY18a8A9IcSdp1K8H6x8fbOy06t2VsZHhMHf-1x7Y/edit?usp=sharing"",""แผน!AA76"")"),0)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41500</v>
      </c>
      <c r="M186" s="132">
        <f ca="1">M187+M188</f>
        <v>88750</v>
      </c>
      <c r="N186" s="132">
        <f ca="1">N187+N188</f>
        <v>28582</v>
      </c>
      <c r="O186" s="132">
        <f ca="1">IF(L186&gt;0,N186*100/L186,0)</f>
        <v>68.872289156626508</v>
      </c>
      <c r="P186" s="132">
        <f ca="1">IF(M186&gt;0,N186*100/M186,0)</f>
        <v>32.205070422535208</v>
      </c>
      <c r="Q186" s="132">
        <f ca="1">Q187+Q188</f>
        <v>105700</v>
      </c>
      <c r="R186" s="132">
        <f ca="1">R187+R188</f>
        <v>105700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41500</v>
      </c>
      <c r="M188" s="47">
        <f ca="1">M191+M194</f>
        <v>88750</v>
      </c>
      <c r="N188" s="47">
        <f ca="1">N191+N194</f>
        <v>28582</v>
      </c>
      <c r="O188" s="47">
        <f ca="1">IF(L188&gt;0,N188*100/L188,0)</f>
        <v>68.872289156626508</v>
      </c>
      <c r="P188" s="47">
        <f ca="1">IF(M188&gt;0,N188*100/M188,0)</f>
        <v>32.205070422535208</v>
      </c>
      <c r="Q188" s="47">
        <f ca="1">Q191+Q194</f>
        <v>105700</v>
      </c>
      <c r="R188" s="47">
        <f ca="1">R191+R194</f>
        <v>105700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41500</v>
      </c>
      <c r="M189" s="47">
        <f ca="1">M190+M191</f>
        <v>88750</v>
      </c>
      <c r="N189" s="47">
        <f ca="1">N190+N191</f>
        <v>28582</v>
      </c>
      <c r="O189" s="47">
        <f ca="1">IF(L189&gt;0,N189*100/L189,0)</f>
        <v>68.872289156626508</v>
      </c>
      <c r="P189" s="47">
        <f ca="1">IF(M189&gt;0,N189*100/M189,0)</f>
        <v>32.205070422535208</v>
      </c>
      <c r="Q189" s="47">
        <f ca="1">Q190+Q191</f>
        <v>105700</v>
      </c>
      <c r="R189" s="47">
        <f ca="1">R190+R191</f>
        <v>105700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IFERROR(__xludf.DUMMYFUNCTION("IMPORTRANGE(""https://docs.google.com/spreadsheets/d/1-uDff_7J0KD5mKrp0Vvzr7lt3OU09vwQwhkpOPPYv2Y/edit?usp=sharing"",""งบพรบ!CU76"")"),41500)</f>
        <v>41500</v>
      </c>
      <c r="M191" s="47">
        <f ca="1">IFERROR(__xludf.DUMMYFUNCTION("IMPORTRANGE(""https://docs.google.com/spreadsheets/d/1-uDff_7J0KD5mKrp0Vvzr7lt3OU09vwQwhkpOPPYv2Y/edit?usp=sharing"",""งบพรบ!CZ76"")"),88750)</f>
        <v>88750</v>
      </c>
      <c r="N191" s="47">
        <f ca="1">IFERROR(__xludf.DUMMYFUNCTION("IMPORTRANGE(""https://docs.google.com/spreadsheets/d/1-uDff_7J0KD5mKrp0Vvzr7lt3OU09vwQwhkpOPPYv2Y/edit?usp=sharing"",""งบพรบ!DB76"")"),28582)</f>
        <v>28582</v>
      </c>
      <c r="O191" s="47">
        <f ca="1">IF(L191&gt;0,N191*100/L191,0)</f>
        <v>68.872289156626508</v>
      </c>
      <c r="P191" s="47">
        <f ca="1">IF(M191&gt;0,N191*100/M191,0)</f>
        <v>32.205070422535208</v>
      </c>
      <c r="Q191" s="47">
        <f ca="1">IFERROR(__xludf.DUMMYFUNCTION("IMPORTRANGE(""https://docs.google.com/spreadsheets/d/1ItG2mGa2ceCfYo0BwxsXqNm01IGEUdYcSSLTEv9YCik/edit?usp=sharing"",""เบิกจ่ายกองทุน!BQ76"")"),105700)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IFERROR(__xludf.DUMMYFUNCTION("IMPORTRANGE(""https://docs.google.com/spreadsheets/d/1ItG2mGa2ceCfYo0BwxsXqNm01IGEUdYcSSLTEv9YCik/edit?usp=sharing"",""เบิกจ่ายกองทุน!BR76"")"),105700)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IFERROR(__xludf.DUMMYFUNCTION("IMPORTRANGE(""https://docs.google.com/spreadsheets/d/1ItG2mGa2ceCfYo0BwxsXqNm01IGEUdYcSSLTEv9YCik/edit?usp=sharing"",""เบิกจ่ายกองทุน!BS76"")"),0)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IFERROR(__xludf.DUMMYFUNCTION("IMPORTRANGE(""https://docs.google.com/spreadsheets/d/1eHaY18a8A9IcSdp1K8H6x8fbOy06t2VsZHhMHf-1x7Y/edit?usp=sharing"",""แผน!AE76"")"),4)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56000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IFERROR(__xludf.DUMMYFUNCTION("IMPORTRANGE(""https://docs.google.com/spreadsheets/d/1eHaY18a8A9IcSdp1K8H6x8fbOy06t2VsZHhMHf-1x7Y/edit?usp=sharing"",""แผน!AG76"")"),4000)</f>
        <v>4000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IFERROR(__xludf.DUMMYFUNCTION("IMPORTRANGE(""https://docs.google.com/spreadsheets/d/1eHaY18a8A9IcSdp1K8H6x8fbOy06t2VsZHhMHf-1x7Y/edit?usp=sharing"",""แผน!AH76"")"),0)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IFERROR(__xludf.DUMMYFUNCTION("IMPORTRANGE(""https://docs.google.com/spreadsheets/d/1eHaY18a8A9IcSdp1K8H6x8fbOy06t2VsZHhMHf-1x7Y/edit?usp=sharing"",""แผน!AI76"")"),0)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IFERROR(__xludf.DUMMYFUNCTION("IMPORTRANGE(""https://docs.google.com/spreadsheets/d/1eHaY18a8A9IcSdp1K8H6x8fbOy06t2VsZHhMHf-1x7Y/edit?usp=sharing"",""แผน!AJ76"")"),21000)</f>
        <v>21000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IFERROR(__xludf.DUMMYFUNCTION("IMPORTRANGE(""https://docs.google.com/spreadsheets/d/1eHaY18a8A9IcSdp1K8H6x8fbOy06t2VsZHhMHf-1x7Y/edit?usp=sharing"",""แผน!AK76"")"),4)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IFERROR(__xludf.DUMMYFUNCTION("IMPORTRANGE(""https://docs.google.com/spreadsheets/d/1eHaY18a8A9IcSdp1K8H6x8fbOy06t2VsZHhMHf-1x7Y/edit?usp=sharing"",""แผน!JX76"")"),2)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IFERROR(__xludf.DUMMYFUNCTION("IMPORTRANGE(""https://docs.google.com/spreadsheets/d/1eHaY18a8A9IcSdp1K8H6x8fbOy06t2VsZHhMHf-1x7Y/edit?usp=sharing"",""แผน!JY76"")"),1)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1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6000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49700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IFERROR(__xludf.DUMMYFUNCTION("IMPORTRANGE(""https://docs.google.com/spreadsheets/d/1eHaY18a8A9IcSdp1K8H6x8fbOy06t2VsZHhMHf-1x7Y/edit?usp=sharing"",""แผน!AO76"")"),0)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386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IFERROR(__xludf.DUMMYFUNCTION("IMPORTRANGE(""https://docs.google.com/spreadsheets/d/1eHaY18a8A9IcSdp1K8H6x8fbOy06t2VsZHhMHf-1x7Y/edit?usp=sharing"",""แผน!AP76"")"),1)</f>
        <v>1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IFERROR(__xludf.DUMMYFUNCTION("IMPORTRANGE(""https://docs.google.com/spreadsheets/d/1eHaY18a8A9IcSdp1K8H6x8fbOy06t2VsZHhMHf-1x7Y/edit?usp=sharing"",""แผน!AR76"")"),2500)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IFERROR(__xludf.DUMMYFUNCTION("IMPORTRANGE(""https://docs.google.com/spreadsheets/d/1eHaY18a8A9IcSdp1K8H6x8fbOy06t2VsZHhMHf-1x7Y/edit?usp=sharing"",""แผน!AS76"")"),2000)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IFERROR(__xludf.DUMMYFUNCTION("IMPORTRANGE(""https://docs.google.com/spreadsheets/d/1eHaY18a8A9IcSdp1K8H6x8fbOy06t2VsZHhMHf-1x7Y/edit?usp=sharing"",""แผน!AT76"")"),0)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IFERROR(__xludf.DUMMYFUNCTION("IMPORTRANGE(""https://docs.google.com/spreadsheets/d/1eHaY18a8A9IcSdp1K8H6x8fbOy06t2VsZHhMHf-1x7Y/edit?usp=sharing"",""แผน!AV76"")"),20000)</f>
        <v>20000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IFERROR(__xludf.DUMMYFUNCTION("IMPORTRANGE(""https://docs.google.com/spreadsheets/d/1eHaY18a8A9IcSdp1K8H6x8fbOy06t2VsZHhMHf-1x7Y/edit?usp=sharing"",""แผน!AX76"")"),0)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IFERROR(__xludf.DUMMYFUNCTION("IMPORTRANGE(""https://docs.google.com/spreadsheets/d/1eHaY18a8A9IcSdp1K8H6x8fbOy06t2VsZHhMHf-1x7Y/edit?usp=sharing"",""แผน!AY76"")"),0)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IFERROR(__xludf.DUMMYFUNCTION("IMPORTRANGE(""https://docs.google.com/spreadsheets/d/1eHaY18a8A9IcSdp1K8H6x8fbOy06t2VsZHhMHf-1x7Y/edit?usp=sharing"",""แผน!AZ76"")"),0)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IFERROR(__xludf.DUMMYFUNCTION("IMPORTRANGE(""https://docs.google.com/spreadsheets/d/1eHaY18a8A9IcSdp1K8H6x8fbOy06t2VsZHhMHf-1x7Y/edit?usp=sharing"",""แผน!BA76"")"),0)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IFERROR(__xludf.DUMMYFUNCTION("IMPORTRANGE(""https://docs.google.com/spreadsheets/d/1eHaY18a8A9IcSdp1K8H6x8fbOy06t2VsZHhMHf-1x7Y/edit?usp=sharing"",""แผน!BG76"")"),0)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IFERROR(__xludf.DUMMYFUNCTION("IMPORTRANGE(""https://docs.google.com/spreadsheets/d/1eHaY18a8A9IcSdp1K8H6x8fbOy06t2VsZHhMHf-1x7Y/edit?usp=sharing"",""แผน!BB76"")"),0)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IFERROR(__xludf.DUMMYFUNCTION("IMPORTRANGE(""https://docs.google.com/spreadsheets/d/1eHaY18a8A9IcSdp1K8H6x8fbOy06t2VsZHhMHf-1x7Y/edit?usp=sharing"",""แผน!BC76"")"),0)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IFERROR(__xludf.DUMMYFUNCTION("IMPORTRANGE(""https://docs.google.com/spreadsheets/d/1eHaY18a8A9IcSdp1K8H6x8fbOy06t2VsZHhMHf-1x7Y/edit?usp=sharing"",""แผน!BD76"")"),0)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IFERROR(__xludf.DUMMYFUNCTION("IMPORTRANGE(""https://docs.google.com/spreadsheets/d/1eHaY18a8A9IcSdp1K8H6x8fbOy06t2VsZHhMHf-1x7Y/edit?usp=sharing"",""แผน!BE76"")"),0)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IFERROR(__xludf.DUMMYFUNCTION("IMPORTRANGE(""https://docs.google.com/spreadsheets/d/1eHaY18a8A9IcSdp1K8H6x8fbOy06t2VsZHhMHf-1x7Y/edit?usp=sharing"",""แผน!BH76"")"),0)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24</v>
      </c>
      <c r="J265" s="726">
        <f>J276</f>
        <v>24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19870</v>
      </c>
      <c r="N266" s="421">
        <f ca="1">N267+N268</f>
        <v>9990</v>
      </c>
      <c r="O266" s="421">
        <f ca="1">IF(L266&gt;0,N266*100/L266,0)</f>
        <v>199.8</v>
      </c>
      <c r="P266" s="421">
        <f ca="1">IF(M266&gt;0,N266*100/M266,0)</f>
        <v>50.276799194765978</v>
      </c>
      <c r="Q266" s="421">
        <f ca="1">Q267+Q268</f>
        <v>53440</v>
      </c>
      <c r="R266" s="421">
        <f ca="1">R267+R268</f>
        <v>53440</v>
      </c>
      <c r="S266" s="421">
        <f ca="1">S267+S268</f>
        <v>53440</v>
      </c>
      <c r="T266" s="421">
        <f ca="1">IF(Q266&gt;0,S266*100/Q266,0)</f>
        <v>100</v>
      </c>
      <c r="U266" s="421">
        <f ca="1">IF(R266&gt;0,S266*100/R266,0)</f>
        <v>100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19870</v>
      </c>
      <c r="N268" s="331">
        <f ca="1">N271+N274</f>
        <v>9990</v>
      </c>
      <c r="O268" s="331">
        <f ca="1">IF(L268&gt;0,N268*100/L268,0)</f>
        <v>199.8</v>
      </c>
      <c r="P268" s="331">
        <f ca="1">IF(M268&gt;0,N268*100/M268,0)</f>
        <v>50.276799194765978</v>
      </c>
      <c r="Q268" s="331">
        <f ca="1">Q271+Q274</f>
        <v>53440</v>
      </c>
      <c r="R268" s="331">
        <f ca="1">R271+R274</f>
        <v>53440</v>
      </c>
      <c r="S268" s="331">
        <f ca="1">S271+S274</f>
        <v>53440</v>
      </c>
      <c r="T268" s="331">
        <f ca="1">IF(Q268&gt;0,S268*100/Q268,0)</f>
        <v>100</v>
      </c>
      <c r="U268" s="331">
        <f ca="1">IF(R268&gt;0,S268*100/R268,0)</f>
        <v>100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19870</v>
      </c>
      <c r="N269" s="331">
        <f ca="1">N270+N271</f>
        <v>9990</v>
      </c>
      <c r="O269" s="331">
        <f ca="1">IF(L269&gt;0,N269*100/L269,0)</f>
        <v>199.8</v>
      </c>
      <c r="P269" s="331">
        <f ca="1">IF(M269&gt;0,N269*100/M269,0)</f>
        <v>50.276799194765978</v>
      </c>
      <c r="Q269" s="331">
        <f ca="1">Q270+Q271</f>
        <v>53440</v>
      </c>
      <c r="R269" s="331">
        <f ca="1">R270+R271</f>
        <v>53440</v>
      </c>
      <c r="S269" s="331">
        <f ca="1">S270+S271</f>
        <v>53440</v>
      </c>
      <c r="T269" s="331">
        <f ca="1">IF(Q269&gt;0,S269*100/Q269,0)</f>
        <v>100</v>
      </c>
      <c r="U269" s="331">
        <f ca="1">IF(R269&gt;0,S269*100/R269,0)</f>
        <v>100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IFERROR(__xludf.DUMMYFUNCTION("IMPORTRANGE(""https://docs.google.com/spreadsheets/d/1-uDff_7J0KD5mKrp0Vvzr7lt3OU09vwQwhkpOPPYv2Y/edit?usp=sharing"",""งบพรบ!DE76"")"),5000)</f>
        <v>5000</v>
      </c>
      <c r="M271" s="331">
        <f ca="1">IFERROR(__xludf.DUMMYFUNCTION("IMPORTRANGE(""https://docs.google.com/spreadsheets/d/1-uDff_7J0KD5mKrp0Vvzr7lt3OU09vwQwhkpOPPYv2Y/edit?usp=sharing"",""งบพรบ!DJ76"")"),19870)</f>
        <v>19870</v>
      </c>
      <c r="N271" s="331">
        <f ca="1">IFERROR(__xludf.DUMMYFUNCTION("IMPORTRANGE(""https://docs.google.com/spreadsheets/d/1-uDff_7J0KD5mKrp0Vvzr7lt3OU09vwQwhkpOPPYv2Y/edit?usp=sharing"",""งบพรบ!DL76"")"),9990)</f>
        <v>9990</v>
      </c>
      <c r="O271" s="331">
        <f ca="1">IF(L271&gt;0,N271*100/L271,0)</f>
        <v>199.8</v>
      </c>
      <c r="P271" s="331">
        <f ca="1">IF(M271&gt;0,N271*100/M271,0)</f>
        <v>50.276799194765978</v>
      </c>
      <c r="Q271" s="331">
        <f ca="1">IFERROR(__xludf.DUMMYFUNCTION("IMPORTRANGE(""https://docs.google.com/spreadsheets/d/1ItG2mGa2ceCfYo0BwxsXqNm01IGEUdYcSSLTEv9YCik/edit?usp=sharing"",""เบิกจ่ายกองทุน!AP76"")"),53440)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IFERROR(__xludf.DUMMYFUNCTION("IMPORTRANGE(""https://docs.google.com/spreadsheets/d/1ItG2mGa2ceCfYo0BwxsXqNm01IGEUdYcSSLTEv9YCik/edit?usp=sharing"",""เบิกจ่ายกองทุน!AQ76"")"),53440)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IFERROR(__xludf.DUMMYFUNCTION("IMPORTRANGE(""https://docs.google.com/spreadsheets/d/1ItG2mGa2ceCfYo0BwxsXqNm01IGEUdYcSSLTEv9YCik/edit?usp=sharing"",""เบิกจ่ายกองทุน!AR76"")"),53440)</f>
        <v>53440</v>
      </c>
      <c r="T271" s="331">
        <f ca="1">IF(Q271&gt;0,S271*100/Q271,0)</f>
        <v>100</v>
      </c>
      <c r="U271" s="331">
        <f ca="1">IF(R271&gt;0,S271*100/R271,0)</f>
        <v>100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IFERROR(__xludf.DUMMYFUNCTION("IMPORTRANGE(""https://docs.google.com/spreadsheets/d/1-uDff_7J0KD5mKrp0Vvzr7lt3OU09vwQwhkpOPPYv2Y/edit?usp=sharing"",""งบพรบ!DH76"")"),0)</f>
        <v>0</v>
      </c>
      <c r="M274" s="331">
        <f ca="1">IFERROR(__xludf.DUMMYFUNCTION("IMPORTRANGE(""https://docs.google.com/spreadsheets/d/1-uDff_7J0KD5mKrp0Vvzr7lt3OU09vwQwhkpOPPYv2Y/edit?usp=sharing"",""งบพรบ!DK76"")"),0)</f>
        <v>0</v>
      </c>
      <c r="N274" s="331">
        <f ca="1">IFERROR(__xludf.DUMMYFUNCTION("IMPORTRANGE(""https://docs.google.com/spreadsheets/d/1-uDff_7J0KD5mKrp0Vvzr7lt3OU09vwQwhkpOPPYv2Y/edit?usp=sharing"",""งบพรบ!DM76"")"),0)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IFERROR(__xludf.DUMMYFUNCTION("IMPORTRANGE(""https://docs.google.com/spreadsheets/d/1eHaY18a8A9IcSdp1K8H6x8fbOy06t2VsZHhMHf-1x7Y/edit?usp=sharing"",""แผน!EC76"")"),24)</f>
        <v>24</v>
      </c>
      <c r="J276" s="175">
        <v>24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30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46893</v>
      </c>
      <c r="T303" s="132">
        <f ca="1">IF(Q303&gt;0,S303*100/Q303,0)</f>
        <v>17.969531464384033</v>
      </c>
      <c r="U303" s="132">
        <f ca="1">IF(R303&gt;0,S303*100/R303,0)</f>
        <v>17.969558319729611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46893</v>
      </c>
      <c r="T305" s="47">
        <f ca="1">IF(Q305&gt;0,S305*100/Q305,0)</f>
        <v>17.969531464384033</v>
      </c>
      <c r="U305" s="47">
        <f ca="1">IF(R305&gt;0,S305*100/R305,0)</f>
        <v>17.969558319729611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46893</v>
      </c>
      <c r="T306" s="47">
        <f ca="1">IF(Q306&gt;0,S306*100/Q306,0)</f>
        <v>17.969531464384033</v>
      </c>
      <c r="U306" s="47">
        <f ca="1">IF(R306&gt;0,S306*100/R306,0)</f>
        <v>17.969558319729611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IFERROR(__xludf.DUMMYFUNCTION("IMPORTRANGE(""https://docs.google.com/spreadsheets/d/1ItG2mGa2ceCfYo0BwxsXqNm01IGEUdYcSSLTEv9YCik/edit?usp=sharing"",""เบิกจ่ายกองทุน!BC76"")"),260958)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IFERROR(__xludf.DUMMYFUNCTION("IMPORTRANGE(""https://docs.google.com/spreadsheets/d/1ItG2mGa2ceCfYo0BwxsXqNm01IGEUdYcSSLTEv9YCik/edit?usp=sharing"",""เบิกจ่ายกองทุน!BD76"")"),46893)</f>
        <v>46893</v>
      </c>
      <c r="T308" s="47">
        <f ca="1">IF(Q308&gt;0,S308*100/Q308,0)</f>
        <v>17.969531464384033</v>
      </c>
      <c r="U308" s="47">
        <f ca="1">IF(R308&gt;0,S308*100/R308,0)</f>
        <v>17.969558319729611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IFERROR(__xludf.DUMMYFUNCTION("IMPORTRANGE(""https://docs.google.com/spreadsheets/d/1eHaY18a8A9IcSdp1K8H6x8fbOy06t2VsZHhMHf-1x7Y/edit?usp=sharing"",""แผน!EF76"")"),30)</f>
        <v>30</v>
      </c>
      <c r="J314" s="167">
        <v>30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4612000</v>
      </c>
      <c r="M320" s="132">
        <f ca="1">M321+M322</f>
        <v>4398800</v>
      </c>
      <c r="N320" s="132">
        <f ca="1">N321+N322</f>
        <v>4319792.0999999996</v>
      </c>
      <c r="O320" s="132">
        <f ca="1">IF(L320&gt;0,N320*100/L320,0)</f>
        <v>93.664182567215946</v>
      </c>
      <c r="P320" s="132">
        <f ca="1">IF(M320&gt;0,N320*100/M320,0)</f>
        <v>98.20387605710647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4612000</v>
      </c>
      <c r="M322" s="47">
        <f ca="1">M325+M328</f>
        <v>4398800</v>
      </c>
      <c r="N322" s="47">
        <f ca="1">N325+N328</f>
        <v>4319792.0999999996</v>
      </c>
      <c r="O322" s="47">
        <f ca="1">IF(L322&gt;0,N322*100/L322,0)</f>
        <v>93.664182567215946</v>
      </c>
      <c r="P322" s="47">
        <f ca="1">IF(M322&gt;0,N322*100/M322,0)</f>
        <v>98.20387605710647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45992.1</v>
      </c>
      <c r="O323" s="47">
        <f ca="1">IF(L323&gt;0,N323*100/L323,0)</f>
        <v>36.793680000000002</v>
      </c>
      <c r="P323" s="47">
        <f ca="1">IF(M323&gt;0,N323*100/M323,0)</f>
        <v>36.793680000000002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IFERROR(__xludf.DUMMYFUNCTION("IMPORTRANGE(""https://docs.google.com/spreadsheets/d/1-uDff_7J0KD5mKrp0Vvzr7lt3OU09vwQwhkpOPPYv2Y/edit?usp=sharing"",""งบพรบ!EI76"")"),125000)</f>
        <v>125000</v>
      </c>
      <c r="M325" s="47">
        <f ca="1">IFERROR(__xludf.DUMMYFUNCTION("IMPORTRANGE(""https://docs.google.com/spreadsheets/d/1-uDff_7J0KD5mKrp0Vvzr7lt3OU09vwQwhkpOPPYv2Y/edit?usp=sharing"",""งบพรบ!EN76"")"),125000)</f>
        <v>125000</v>
      </c>
      <c r="N325" s="47">
        <f ca="1">IFERROR(__xludf.DUMMYFUNCTION("IMPORTRANGE(""https://docs.google.com/spreadsheets/d/1-uDff_7J0KD5mKrp0Vvzr7lt3OU09vwQwhkpOPPYv2Y/edit?usp=sharing"",""งบพรบ!EP76"")"),45992.1)</f>
        <v>45992.1</v>
      </c>
      <c r="O325" s="47">
        <f ca="1">IF(L325&gt;0,N325*100/L325,0)</f>
        <v>36.793680000000002</v>
      </c>
      <c r="P325" s="47">
        <f ca="1">IF(M325&gt;0,N325*100/M325,0)</f>
        <v>36.793680000000002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4487000</v>
      </c>
      <c r="M326" s="47">
        <f ca="1">M327+M328</f>
        <v>4273800</v>
      </c>
      <c r="N326" s="47">
        <f ca="1">N327+N328</f>
        <v>4273800</v>
      </c>
      <c r="O326" s="47">
        <f ca="1">IF(L326&gt;0,N326*100/L326,0)</f>
        <v>95.248495654111878</v>
      </c>
      <c r="P326" s="47">
        <f ca="1">IF(M326&gt;0,N326*100/M326,0)</f>
        <v>100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IFERROR(__xludf.DUMMYFUNCTION("IMPORTRANGE(""https://docs.google.com/spreadsheets/d/1-uDff_7J0KD5mKrp0Vvzr7lt3OU09vwQwhkpOPPYv2Y/edit?usp=sharing"",""งบพรบ!EL76"")"),4487000)</f>
        <v>4487000</v>
      </c>
      <c r="M328" s="47">
        <f ca="1">IFERROR(__xludf.DUMMYFUNCTION("IMPORTRANGE(""https://docs.google.com/spreadsheets/d/1-uDff_7J0KD5mKrp0Vvzr7lt3OU09vwQwhkpOPPYv2Y/edit?usp=sharing"",""งบพรบ!EO76"")"),4273800)</f>
        <v>4273800</v>
      </c>
      <c r="N328" s="47">
        <f ca="1">IFERROR(__xludf.DUMMYFUNCTION("IMPORTRANGE(""https://docs.google.com/spreadsheets/d/1-uDff_7J0KD5mKrp0Vvzr7lt3OU09vwQwhkpOPPYv2Y/edit?usp=sharing"",""งบพรบ!EQ76"")"),4273800)</f>
        <v>4273800</v>
      </c>
      <c r="O328" s="47">
        <f ca="1">IF(L328&gt;0,N328*100/L328,0)</f>
        <v>95.248495654111878</v>
      </c>
      <c r="P328" s="47">
        <f ca="1">IF(M328&gt;0,N328*100/M328,0)</f>
        <v>100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IFERROR(__xludf.DUMMYFUNCTION("IMPORTRANGE(""https://docs.google.com/spreadsheets/d/1eHaY18a8A9IcSdp1K8H6x8fbOy06t2VsZHhMHf-1x7Y/edit?usp=sharing"",""แผน!EJ76"")"),1)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2060</v>
      </c>
      <c r="J332" s="697">
        <f ca="1">J344+J347+J348+J349+J353</f>
        <v>12464</v>
      </c>
      <c r="K332" s="696">
        <f ca="1">IF(I332&gt;0,J332*100/I332,0)</f>
        <v>605.04854368932035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188000</v>
      </c>
      <c r="M333" s="132">
        <f ca="1">M334+M335</f>
        <v>188000</v>
      </c>
      <c r="N333" s="132">
        <f ca="1">N334+N335</f>
        <v>81465</v>
      </c>
      <c r="O333" s="132">
        <f ca="1">IF(L333&gt;0,N333*100/L333,0)</f>
        <v>43.332446808510639</v>
      </c>
      <c r="P333" s="132">
        <f ca="1">IF(M333&gt;0,N333*100/M333,0)</f>
        <v>43.332446808510639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188000</v>
      </c>
      <c r="M335" s="47">
        <f ca="1">M338+M341</f>
        <v>188000</v>
      </c>
      <c r="N335" s="47">
        <f ca="1">N338+N341</f>
        <v>81465</v>
      </c>
      <c r="O335" s="47">
        <f ca="1">IF(L335&gt;0,N335*100/L335,0)</f>
        <v>43.332446808510639</v>
      </c>
      <c r="P335" s="47">
        <f ca="1">IF(M335&gt;0,N335*100/M335,0)</f>
        <v>43.332446808510639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188000</v>
      </c>
      <c r="M336" s="47">
        <f ca="1">M337+M338</f>
        <v>188000</v>
      </c>
      <c r="N336" s="47">
        <f ca="1">N337+N338</f>
        <v>81465</v>
      </c>
      <c r="O336" s="47">
        <f ca="1">IF(L336&gt;0,N336*100/L336,0)</f>
        <v>43.332446808510639</v>
      </c>
      <c r="P336" s="47">
        <f ca="1">IF(M336&gt;0,N336*100/M336,0)</f>
        <v>43.332446808510639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IFERROR(__xludf.DUMMYFUNCTION("IMPORTRANGE(""https://docs.google.com/spreadsheets/d/1-uDff_7J0KD5mKrp0Vvzr7lt3OU09vwQwhkpOPPYv2Y/edit?usp=sharing"",""งบพรบ!ES76"")"),188000)</f>
        <v>188000</v>
      </c>
      <c r="M338" s="47">
        <f ca="1">IFERROR(__xludf.DUMMYFUNCTION("IMPORTRANGE(""https://docs.google.com/spreadsheets/d/1-uDff_7J0KD5mKrp0Vvzr7lt3OU09vwQwhkpOPPYv2Y/edit?usp=sharing"",""งบพรบ!EX76"")"),188000)</f>
        <v>188000</v>
      </c>
      <c r="N338" s="47">
        <f ca="1">IFERROR(__xludf.DUMMYFUNCTION("IMPORTRANGE(""https://docs.google.com/spreadsheets/d/1-uDff_7J0KD5mKrp0Vvzr7lt3OU09vwQwhkpOPPYv2Y/edit?usp=sharing"",""งบพรบ!EZ76"")"),81465)</f>
        <v>81465</v>
      </c>
      <c r="O338" s="47">
        <f ca="1">IF(L338&gt;0,N338*100/L338,0)</f>
        <v>43.332446808510639</v>
      </c>
      <c r="P338" s="47">
        <f ca="1">IF(M338&gt;0,N338*100/M338,0)</f>
        <v>43.332446808510639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5505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IFERROR(__xludf.DUMMYFUNCTION("IMPORTRANGE(""https://docs.google.com/spreadsheets/d/1eHaY18a8A9IcSdp1K8H6x8fbOy06t2VsZHhMHf-1x7Y/edit?usp=sharing"",""แผน!EK76"")"),2060)</f>
        <v>2060</v>
      </c>
      <c r="J344" s="152">
        <f ca="1">IFERROR(__xludf.DUMMYFUNCTION("IMPORTRANGE(""https://docs.google.com/spreadsheets/d/1awYsYK3VOup2i3Pq_Yjnu8DRu_mYwSBnCR2QPthd0rU/edit?usp=sharing"",""ศูนย์ยกเว้นโฉนด!D76"")"),5503)</f>
        <v>5503</v>
      </c>
      <c r="K344" s="47">
        <f ca="1">IF(I344&gt;0,J344*100/I344,0)</f>
        <v>267.13592233009706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IFERROR(__xludf.DUMMYFUNCTION("IMPORTRANGE(""https://docs.google.com/spreadsheets/d/1eHaY18a8A9IcSdp1K8H6x8fbOy06t2VsZHhMHf-1x7Y/edit?usp=sharing"",""แผน!EL76"")"),3)</f>
        <v>3</v>
      </c>
      <c r="J346" s="152">
        <f ca="1">IFERROR(__xludf.DUMMYFUNCTION("IMPORTRANGE(""https://docs.google.com/spreadsheets/d/1awYsYK3VOup2i3Pq_Yjnu8DRu_mYwSBnCR2QPthd0rU/edit?usp=sharing"",""ศูนย์รวม!E76"")"),4)</f>
        <v>4</v>
      </c>
      <c r="K346" s="47">
        <f ca="1">IF(I346&gt;0,J346*100/I346,0)</f>
        <v>133.33333333333334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7773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IFERROR(__xludf.DUMMYFUNCTION("IMPORTRANGE(""https://docs.google.com/spreadsheets/d/1awYsYK3VOup2i3Pq_Yjnu8DRu_mYwSBnCR2QPthd0rU/edit?usp=sharing"",""โฉนดM3!G76"")"),814)</f>
        <v>814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IFERROR(__xludf.DUMMYFUNCTION("IMPORTRANGE(""https://docs.google.com/spreadsheets/d/1awYsYK3VOup2i3Pq_Yjnu8DRu_mYwSBnCR2QPthd0rU/edit?usp=sharing"",""โฉนดM3!H76"")"),6959)</f>
        <v>6959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770060</v>
      </c>
      <c r="M356" s="132">
        <f ca="1">M357+M358</f>
        <v>869960</v>
      </c>
      <c r="N356" s="132">
        <f ca="1">N357+N358</f>
        <v>497395.73</v>
      </c>
      <c r="O356" s="132">
        <f ca="1">IF(L356&gt;0,N356*100/L356,0)</f>
        <v>64.591814923512459</v>
      </c>
      <c r="P356" s="132">
        <f ca="1">IF(M356&gt;0,N356*100/M356,0)</f>
        <v>57.174551703526596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770060</v>
      </c>
      <c r="M358" s="47">
        <f ca="1">M361+M364</f>
        <v>869960</v>
      </c>
      <c r="N358" s="47">
        <f ca="1">N361+N364</f>
        <v>497395.73</v>
      </c>
      <c r="O358" s="47">
        <f ca="1">IF(L358&gt;0,N358*100/L358,0)</f>
        <v>64.591814923512459</v>
      </c>
      <c r="P358" s="47">
        <f ca="1">IF(M358&gt;0,N358*100/M358,0)</f>
        <v>57.174551703526596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770060</v>
      </c>
      <c r="M359" s="47">
        <f ca="1">M360+M361</f>
        <v>869960</v>
      </c>
      <c r="N359" s="47">
        <f ca="1">N360+N361</f>
        <v>497395.73</v>
      </c>
      <c r="O359" s="47">
        <f ca="1">IF(L359&gt;0,N359*100/L359,0)</f>
        <v>64.591814923512459</v>
      </c>
      <c r="P359" s="47">
        <f ca="1">IF(M359&gt;0,N359*100/M359,0)</f>
        <v>57.174551703526596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IFERROR(__xludf.DUMMYFUNCTION("IMPORTRANGE(""https://docs.google.com/spreadsheets/d/1-uDff_7J0KD5mKrp0Vvzr7lt3OU09vwQwhkpOPPYv2Y/edit?usp=sharing"",""งบพรบ!FC76"")"),770060)</f>
        <v>770060</v>
      </c>
      <c r="M361" s="47">
        <f ca="1">IFERROR(__xludf.DUMMYFUNCTION("IMPORTRANGE(""https://docs.google.com/spreadsheets/d/1-uDff_7J0KD5mKrp0Vvzr7lt3OU09vwQwhkpOPPYv2Y/edit?usp=sharing"",""งบพรบ!FH76"")"),869960)</f>
        <v>869960</v>
      </c>
      <c r="N361" s="47">
        <f ca="1">IFERROR(__xludf.DUMMYFUNCTION("IMPORTRANGE(""https://docs.google.com/spreadsheets/d/1-uDff_7J0KD5mKrp0Vvzr7lt3OU09vwQwhkpOPPYv2Y/edit?usp=sharing"",""งบพรบ!FJ76"")"),497395.73)</f>
        <v>497395.73</v>
      </c>
      <c r="O361" s="47">
        <f ca="1">IF(L361&gt;0,N361*100/L361,0)</f>
        <v>64.591814923512459</v>
      </c>
      <c r="P361" s="47">
        <f ca="1">IF(M361&gt;0,N361*100/M361,0)</f>
        <v>57.174551703526596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495</v>
      </c>
      <c r="J365" s="228">
        <f ca="1">J371</f>
        <v>471</v>
      </c>
      <c r="K365" s="229">
        <f ca="1">IF(I365&gt;0,J365*100/I365,0)</f>
        <v>95.151515151515156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IFERROR(__xludf.DUMMYFUNCTION("IMPORTRANGE(""https://docs.google.com/spreadsheets/d/1tdoBKaGub7dwA3U6UFTqxio9LNnvDCQjHKmttSEBsFQ/edit?usp=sharing"",""จัดที่ดิน!AB76"")"),209)</f>
        <v>209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IFERROR(__xludf.DUMMYFUNCTION("IMPORTRANGE(""https://docs.google.com/spreadsheets/d/1eHaY18a8A9IcSdp1K8H6x8fbOy06t2VsZHhMHf-1x7Y/edit?usp=sharing"",""แผน!EW76"")"),1900)</f>
        <v>1900</v>
      </c>
      <c r="J368" s="685">
        <f ca="1">IFERROR(__xludf.DUMMYFUNCTION("IMPORTRANGE(""https://docs.google.com/spreadsheets/d/1tdoBKaGub7dwA3U6UFTqxio9LNnvDCQjHKmttSEBsFQ/edit?usp=sharing"",""จัดที่ดิน!AC76"")"),1927)</f>
        <v>1927</v>
      </c>
      <c r="K368" s="47">
        <f ca="1">IF(I368&gt;0,J368*100/I368,0)</f>
        <v>101.42105263157895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IFERROR(__xludf.DUMMYFUNCTION("IMPORTRANGE(""https://docs.google.com/spreadsheets/d/1eHaY18a8A9IcSdp1K8H6x8fbOy06t2VsZHhMHf-1x7Y/edit?usp=sharing"",""แผน!EX76"")"),495)</f>
        <v>495</v>
      </c>
      <c r="J369" s="152">
        <f ca="1">IFERROR(__xludf.DUMMYFUNCTION("IMPORTRANGE(""https://docs.google.com/spreadsheets/d/1tdoBKaGub7dwA3U6UFTqxio9LNnvDCQjHKmttSEBsFQ/edit?usp=sharing"",""จัดที่ดิน!AD76"")"),559)</f>
        <v>559</v>
      </c>
      <c r="K369" s="47">
        <f ca="1">IF(I369&gt;0,J369*100/I369,0)</f>
        <v>112.92929292929293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IFERROR(__xludf.DUMMYFUNCTION("IMPORTRANGE(""https://docs.google.com/spreadsheets/d/1tdoBKaGub7dwA3U6UFTqxio9LNnvDCQjHKmttSEBsFQ/edit?usp=sharing"",""จัดที่ดิน!AE76"")"),6897.55999999999)</f>
        <v>6897.5599999999904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IFERROR(__xludf.DUMMYFUNCTION("IMPORTRANGE(""https://docs.google.com/spreadsheets/d/1eHaY18a8A9IcSdp1K8H6x8fbOy06t2VsZHhMHf-1x7Y/edit?usp=sharing"",""แผน!EY76"")"),495)</f>
        <v>495</v>
      </c>
      <c r="J371" s="152">
        <f ca="1">IFERROR(__xludf.DUMMYFUNCTION("IMPORTRANGE(""https://docs.google.com/spreadsheets/d/1tdoBKaGub7dwA3U6UFTqxio9LNnvDCQjHKmttSEBsFQ/edit?usp=sharing"",""จัดที่ดิน!AF76"")"),471)</f>
        <v>471</v>
      </c>
      <c r="K371" s="47">
        <f ca="1">IF(I371&gt;0,J371*100/I371,0)</f>
        <v>95.151515151515156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IFERROR(__xludf.DUMMYFUNCTION("IMPORTRANGE(""https://docs.google.com/spreadsheets/d/1tdoBKaGub7dwA3U6UFTqxio9LNnvDCQjHKmttSEBsFQ/edit?usp=sharing"",""จัดที่ดิน!AG76"")"),6031.05999999999)</f>
        <v>6031.0599999999904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2000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43900</v>
      </c>
      <c r="M375" s="132">
        <f ca="1">M376+M377</f>
        <v>43900</v>
      </c>
      <c r="N375" s="132">
        <f ca="1">N376+N377</f>
        <v>10985</v>
      </c>
      <c r="O375" s="132">
        <f ca="1">IF(L375&gt;0,N375*100/L375,0)</f>
        <v>25.022779043280181</v>
      </c>
      <c r="P375" s="132">
        <f ca="1">IF(M375&gt;0,N375*100/M375,0)</f>
        <v>25.022779043280181</v>
      </c>
      <c r="Q375" s="132">
        <f ca="1">Q376+Q377</f>
        <v>125000</v>
      </c>
      <c r="R375" s="132">
        <f ca="1">R376+R377</f>
        <v>125000</v>
      </c>
      <c r="S375" s="132">
        <f ca="1">S376+S377</f>
        <v>1660</v>
      </c>
      <c r="T375" s="132">
        <f ca="1">IF(Q375&gt;0,S375*100/Q375,0)</f>
        <v>1.3280000000000001</v>
      </c>
      <c r="U375" s="132">
        <f ca="1">IF(R375&gt;0,S375*100/R375,0)</f>
        <v>1.3280000000000001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43900</v>
      </c>
      <c r="M377" s="47">
        <f ca="1">M380+M383</f>
        <v>43900</v>
      </c>
      <c r="N377" s="47">
        <f ca="1">N380+N383</f>
        <v>10985</v>
      </c>
      <c r="O377" s="47">
        <f ca="1">IF(L377&gt;0,N377*100/L377,0)</f>
        <v>25.022779043280181</v>
      </c>
      <c r="P377" s="47">
        <f ca="1">IF(M377&gt;0,N377*100/M377,0)</f>
        <v>25.022779043280181</v>
      </c>
      <c r="Q377" s="47">
        <f ca="1">Q380+Q383</f>
        <v>125000</v>
      </c>
      <c r="R377" s="47">
        <f ca="1">R380+R383</f>
        <v>125000</v>
      </c>
      <c r="S377" s="47">
        <f ca="1">S380+S383</f>
        <v>1660</v>
      </c>
      <c r="T377" s="47">
        <f ca="1">IF(Q377&gt;0,S377*100/Q377,0)</f>
        <v>1.3280000000000001</v>
      </c>
      <c r="U377" s="47">
        <f ca="1">IF(R377&gt;0,S377*100/R377,0)</f>
        <v>1.3280000000000001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43900</v>
      </c>
      <c r="M378" s="47">
        <f ca="1">M379+M380</f>
        <v>43900</v>
      </c>
      <c r="N378" s="47">
        <f ca="1">N379+N380</f>
        <v>10985</v>
      </c>
      <c r="O378" s="47">
        <f ca="1">IF(L378&gt;0,N378*100/L378,0)</f>
        <v>25.022779043280181</v>
      </c>
      <c r="P378" s="47">
        <f ca="1">IF(M378&gt;0,N378*100/M378,0)</f>
        <v>25.022779043280181</v>
      </c>
      <c r="Q378" s="47">
        <f ca="1">Q379+Q380</f>
        <v>125000</v>
      </c>
      <c r="R378" s="47">
        <f ca="1">R379+R380</f>
        <v>125000</v>
      </c>
      <c r="S378" s="47">
        <f ca="1">S379+S380</f>
        <v>1660</v>
      </c>
      <c r="T378" s="47">
        <f ca="1">IF(Q378&gt;0,S378*100/Q378,0)</f>
        <v>1.3280000000000001</v>
      </c>
      <c r="U378" s="47">
        <f ca="1">IF(R378&gt;0,S378*100/R378,0)</f>
        <v>1.3280000000000001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IFERROR(__xludf.DUMMYFUNCTION("IMPORTRANGE(""https://docs.google.com/spreadsheets/d/1-uDff_7J0KD5mKrp0Vvzr7lt3OU09vwQwhkpOPPYv2Y/edit?usp=sharing"",""งบพรบ!IE76"")"),43900)</f>
        <v>43900</v>
      </c>
      <c r="M380" s="47">
        <f ca="1">IFERROR(__xludf.DUMMYFUNCTION("IMPORTRANGE(""https://docs.google.com/spreadsheets/d/1-uDff_7J0KD5mKrp0Vvzr7lt3OU09vwQwhkpOPPYv2Y/edit?usp=sharing"",""งบพรบ!IJ76"")"),43900)</f>
        <v>43900</v>
      </c>
      <c r="N380" s="47">
        <f ca="1">IFERROR(__xludf.DUMMYFUNCTION("IMPORTRANGE(""https://docs.google.com/spreadsheets/d/1-uDff_7J0KD5mKrp0Vvzr7lt3OU09vwQwhkpOPPYv2Y/edit?usp=sharing"",""งบพรบ!IL76"")"),10985)</f>
        <v>10985</v>
      </c>
      <c r="O380" s="47">
        <f ca="1">IF(L380&gt;0,N380*100/L380,0)</f>
        <v>25.022779043280181</v>
      </c>
      <c r="P380" s="47">
        <f ca="1">IF(M380&gt;0,N380*100/M380,0)</f>
        <v>25.022779043280181</v>
      </c>
      <c r="Q380" s="47">
        <f ca="1">IFERROR(__xludf.DUMMYFUNCTION("IMPORTRANGE(""https://docs.google.com/spreadsheets/d/1ItG2mGa2ceCfYo0BwxsXqNm01IGEUdYcSSLTEv9YCik/edit?usp=sharing"",""เบิกจ่ายกองทุน!BW76"")"),125000)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IFERROR(__xludf.DUMMYFUNCTION("IMPORTRANGE(""https://docs.google.com/spreadsheets/d/1ItG2mGa2ceCfYo0BwxsXqNm01IGEUdYcSSLTEv9YCik/edit?usp=sharing"",""เบิกจ่ายกองทุน!BX76"")"),125000)</f>
        <v>125000</v>
      </c>
      <c r="S380" s="47">
        <f ca="1">IFERROR(__xludf.DUMMYFUNCTION("IMPORTRANGE(""https://docs.google.com/spreadsheets/d/1ItG2mGa2ceCfYo0BwxsXqNm01IGEUdYcSSLTEv9YCik/edit?usp=sharing"",""เบิกจ่ายกองทุน!BY76"")"),1660)</f>
        <v>1660</v>
      </c>
      <c r="T380" s="47">
        <f ca="1">IF(Q380&gt;0,S380*100/Q380,0)</f>
        <v>1.3280000000000001</v>
      </c>
      <c r="U380" s="47">
        <f ca="1">IF(R380&gt;0,S380*100/R380,0)</f>
        <v>1.3280000000000001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IFERROR(__xludf.DUMMYFUNCTION("IMPORTRANGE(""https://docs.google.com/spreadsheets/d/1-uDff_7J0KD5mKrp0Vvzr7lt3OU09vwQwhkpOPPYv2Y/edit?usp=sharing"",""งบพรบ!IH76"")"),0)</f>
        <v>0</v>
      </c>
      <c r="M383" s="47">
        <f ca="1">IFERROR(__xludf.DUMMYFUNCTION("IMPORTRANGE(""https://docs.google.com/spreadsheets/d/1-uDff_7J0KD5mKrp0Vvzr7lt3OU09vwQwhkpOPPYv2Y/edit?usp=sharing"",""งบพรบ!IK76"")"),0)</f>
        <v>0</v>
      </c>
      <c r="N383" s="47">
        <f ca="1">IFERROR(__xludf.DUMMYFUNCTION("IMPORTRANGE(""https://docs.google.com/spreadsheets/d/1-uDff_7J0KD5mKrp0Vvzr7lt3OU09vwQwhkpOPPYv2Y/edit?usp=sharing"",""งบพรบ!IM76"")"),0)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IFERROR(__xludf.DUMMYFUNCTION("IMPORTRANGE(""https://docs.google.com/spreadsheets/d/1w5rwWK1o49a35cNtocGL0gxDwhFSTZUQu90BiH9_zqM/edit?usp=sharing"",""RTK!G76"")"),2000)</f>
        <v>2000</v>
      </c>
      <c r="J386" s="152">
        <f ca="1">IFERROR(__xludf.DUMMYFUNCTION("IMPORTRANGE(""https://docs.google.com/spreadsheets/d/1w5rwWK1o49a35cNtocGL0gxDwhFSTZUQu90BiH9_zqM/edit?usp=sharing"",""RTK!I76"")"),0)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IFERROR(__xludf.DUMMYFUNCTION("IMPORTRANGE(""https://docs.google.com/spreadsheets/d/1w5rwWK1o49a35cNtocGL0gxDwhFSTZUQu90BiH9_zqM/edit?usp=sharing"",""RTK!K76"")"),0)</f>
        <v>0</v>
      </c>
      <c r="J388" s="330">
        <f ca="1">IFERROR(__xludf.DUMMYFUNCTION("IMPORTRANGE(""https://docs.google.com/spreadsheets/d/1w5rwWK1o49a35cNtocGL0gxDwhFSTZUQu90BiH9_zqM/edit?usp=sharing"",""RTK!M76"")"),0)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170340</v>
      </c>
      <c r="M413" s="132">
        <f ca="1">M414+M415</f>
        <v>420340</v>
      </c>
      <c r="N413" s="132">
        <f ca="1">N414+N415</f>
        <v>271050</v>
      </c>
      <c r="O413" s="132">
        <f ca="1">IF(L413&gt;0,N413*100/L413,0)</f>
        <v>159.12293060936949</v>
      </c>
      <c r="P413" s="132">
        <f ca="1">IF(M413&gt;0,N413*100/M413,0)</f>
        <v>64.483513346338682</v>
      </c>
      <c r="Q413" s="132">
        <f ca="1">Q414+Q415</f>
        <v>18050</v>
      </c>
      <c r="R413" s="132">
        <f ca="1">R414+R415</f>
        <v>18050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170340</v>
      </c>
      <c r="M415" s="47">
        <f ca="1">M418+M421</f>
        <v>420340</v>
      </c>
      <c r="N415" s="47">
        <f ca="1">N418+N421</f>
        <v>271050</v>
      </c>
      <c r="O415" s="47">
        <f ca="1">IF(L415&gt;0,N415*100/L415,0)</f>
        <v>159.12293060936949</v>
      </c>
      <c r="P415" s="47">
        <f ca="1">IF(M415&gt;0,N415*100/M415,0)</f>
        <v>64.483513346338682</v>
      </c>
      <c r="Q415" s="47">
        <f ca="1">Q418+Q421</f>
        <v>18050</v>
      </c>
      <c r="R415" s="47">
        <f ca="1">R418+R421</f>
        <v>18050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170340</v>
      </c>
      <c r="M416" s="47">
        <f ca="1">M417+M418</f>
        <v>420340</v>
      </c>
      <c r="N416" s="47">
        <f ca="1">N417+N418</f>
        <v>271050</v>
      </c>
      <c r="O416" s="47">
        <f ca="1">IF(L416&gt;0,N416*100/L416,0)</f>
        <v>159.12293060936949</v>
      </c>
      <c r="P416" s="47">
        <f ca="1">IF(M416&gt;0,N416*100/M416,0)</f>
        <v>64.483513346338682</v>
      </c>
      <c r="Q416" s="47">
        <f ca="1">Q417+Q418</f>
        <v>18050</v>
      </c>
      <c r="R416" s="47">
        <f ca="1">R417+R418</f>
        <v>18050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IFERROR(__xludf.DUMMYFUNCTION("IMPORTRANGE(""https://docs.google.com/spreadsheets/d/1-uDff_7J0KD5mKrp0Vvzr7lt3OU09vwQwhkpOPPYv2Y/edit?usp=sharing"",""งบพรบ!IO76"")"),170340)</f>
        <v>170340</v>
      </c>
      <c r="M418" s="47">
        <f ca="1">IFERROR(__xludf.DUMMYFUNCTION("IMPORTRANGE(""https://docs.google.com/spreadsheets/d/1-uDff_7J0KD5mKrp0Vvzr7lt3OU09vwQwhkpOPPYv2Y/edit?usp=sharing"",""งบพรบ!IT76"")"),420340)</f>
        <v>420340</v>
      </c>
      <c r="N418" s="47">
        <f ca="1">IFERROR(__xludf.DUMMYFUNCTION("IMPORTRANGE(""https://docs.google.com/spreadsheets/d/1-uDff_7J0KD5mKrp0Vvzr7lt3OU09vwQwhkpOPPYv2Y/edit?usp=sharing"",""งบพรบ!IV76"")"),271050)</f>
        <v>271050</v>
      </c>
      <c r="O418" s="47">
        <f ca="1">IF(L418&gt;0,N418*100/L418,0)</f>
        <v>159.12293060936949</v>
      </c>
      <c r="P418" s="47">
        <f ca="1">IF(M418&gt;0,N418*100/M418,0)</f>
        <v>64.483513346338682</v>
      </c>
      <c r="Q418" s="47">
        <f ca="1">IFERROR(__xludf.DUMMYFUNCTION("IMPORTRANGE(""https://docs.google.com/spreadsheets/d/1ItG2mGa2ceCfYo0BwxsXqNm01IGEUdYcSSLTEv9YCik/edit?usp=sharing"",""เบิกจ่ายกองทุน!BZ76"")"),18050)</f>
        <v>18050</v>
      </c>
      <c r="R418" s="47">
        <f ca="1">IFERROR(__xludf.DUMMYFUNCTION("IMPORTRANGE(""https://docs.google.com/spreadsheets/d/1ItG2mGa2ceCfYo0BwxsXqNm01IGEUdYcSSLTEv9YCik/edit?usp=sharing"",""เบิกจ่ายกองทุน!CA76"")"),18050)</f>
        <v>18050</v>
      </c>
      <c r="S418" s="47">
        <f ca="1">IFERROR(__xludf.DUMMYFUNCTION("IMPORTRANGE(""https://docs.google.com/spreadsheets/d/1ItG2mGa2ceCfYo0BwxsXqNm01IGEUdYcSSLTEv9YCik/edit?usp=sharing"",""เบิกจ่ายกองทุน!CB76"")"),0)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IFERROR(__xludf.DUMMYFUNCTION("IMPORTRANGE(""https://docs.google.com/spreadsheets/d/1-uDff_7J0KD5mKrp0Vvzr7lt3OU09vwQwhkpOPPYv2Y/edit?usp=sharing"",""งบพรบ!IR76"")"),0)</f>
        <v>0</v>
      </c>
      <c r="M421" s="47">
        <f ca="1">IFERROR(__xludf.DUMMYFUNCTION("IMPORTRANGE(""https://docs.google.com/spreadsheets/d/1-uDff_7J0KD5mKrp0Vvzr7lt3OU09vwQwhkpOPPYv2Y/edit?usp=sharing"",""งบพรบ!IU76"")"),0)</f>
        <v>0</v>
      </c>
      <c r="N421" s="47">
        <f ca="1">IFERROR(__xludf.DUMMYFUNCTION("IMPORTRANGE(""https://docs.google.com/spreadsheets/d/1-uDff_7J0KD5mKrp0Vvzr7lt3OU09vwQwhkpOPPYv2Y/edit?usp=sharing"",""งบพรบ!IW76"")"),0)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IFERROR(__xludf.DUMMYFUNCTION("IMPORTRANGE(""https://docs.google.com/spreadsheets/d/1eHaY18a8A9IcSdp1K8H6x8fbOy06t2VsZHhMHf-1x7Y/edit?usp=sharing"",""แผน!HJ76"")"),0)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IFERROR(__xludf.DUMMYFUNCTION("IMPORTRANGE(""https://docs.google.com/spreadsheets/d/1eHaY18a8A9IcSdp1K8H6x8fbOy06t2VsZHhMHf-1x7Y/edit?usp=sharing"",""แผน!HK76"")"),0)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IFERROR(__xludf.DUMMYFUNCTION("IMPORTRANGE(""https://docs.google.com/spreadsheets/d/1eHaY18a8A9IcSdp1K8H6x8fbOy06t2VsZHhMHf-1x7Y/edit?usp=sharing"",""แผน!HJ76"")"),0)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IFERROR(__xludf.DUMMYFUNCTION("IMPORTRANGE(""https://docs.google.com/spreadsheets/d/1eHaY18a8A9IcSdp1K8H6x8fbOy06t2VsZHhMHf-1x7Y/edit?usp=sharing"",""แผน!HK76"")"),0)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IFERROR(__xludf.DUMMYFUNCTION("IMPORTRANGE(""https://docs.google.com/spreadsheets/d/1eHaY18a8A9IcSdp1K8H6x8fbOy06t2VsZHhMHf-1x7Y/edit?usp=sharing"",""แผน!HJ76"")"),0)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IFERROR(__xludf.DUMMYFUNCTION("IMPORTRANGE(""https://docs.google.com/spreadsheets/d/1eHaY18a8A9IcSdp1K8H6x8fbOy06t2VsZHhMHf-1x7Y/edit?usp=sharing"",""แผน!HK76"")"),0)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424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IFERROR(__xludf.DUMMYFUNCTION("IMPORTRANGE(""https://docs.google.com/spreadsheets/d/1eHaY18a8A9IcSdp1K8H6x8fbOy06t2VsZHhMHf-1x7Y/edit?usp=sharing"",""แผน!HL76"")"),424)</f>
        <v>424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IFERROR(__xludf.DUMMYFUNCTION("IMPORTRANGE(""https://docs.google.com/spreadsheets/d/1eHaY18a8A9IcSdp1K8H6x8fbOy06t2VsZHhMHf-1x7Y/edit?usp=sharing"",""แผน!HM76"")"),0)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50</v>
      </c>
      <c r="J492" s="310">
        <f>J503</f>
        <v>50</v>
      </c>
      <c r="K492" s="311">
        <f ca="1">IF(I492&gt;0,J492*100/I492,0)</f>
        <v>100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28100</v>
      </c>
      <c r="M493" s="132">
        <f ca="1">M494+M495</f>
        <v>28100</v>
      </c>
      <c r="N493" s="132">
        <f ca="1">N494+N495</f>
        <v>28000</v>
      </c>
      <c r="O493" s="132">
        <f ca="1">IF(L493&gt;0,N493*100/L493,0)</f>
        <v>99.644128113879006</v>
      </c>
      <c r="P493" s="132">
        <f ca="1">IF(M493&gt;0,N493*100/M493,0)</f>
        <v>99.644128113879006</v>
      </c>
      <c r="Q493" s="132">
        <f ca="1">Q494+Q495</f>
        <v>648025</v>
      </c>
      <c r="R493" s="132">
        <f ca="1">R494+R495</f>
        <v>655725</v>
      </c>
      <c r="S493" s="132">
        <f ca="1">S494+S495</f>
        <v>555527</v>
      </c>
      <c r="T493" s="132">
        <f ca="1">IF(Q493&gt;0,S493*100/Q493,0)</f>
        <v>85.726167971914663</v>
      </c>
      <c r="U493" s="132">
        <f ca="1">IF(R493&gt;0,S493*100/R493,0)</f>
        <v>84.719508940485724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28100</v>
      </c>
      <c r="M495" s="47">
        <f ca="1">M498+M501</f>
        <v>28100</v>
      </c>
      <c r="N495" s="47">
        <f ca="1">N498+N501</f>
        <v>28000</v>
      </c>
      <c r="O495" s="47">
        <f ca="1">IF(L495&gt;0,N495*100/L495,0)</f>
        <v>99.644128113879006</v>
      </c>
      <c r="P495" s="47">
        <f ca="1">IF(M495&gt;0,N495*100/M495,0)</f>
        <v>99.644128113879006</v>
      </c>
      <c r="Q495" s="47">
        <f ca="1">Q498+Q501</f>
        <v>648025</v>
      </c>
      <c r="R495" s="47">
        <f ca="1">R498+R501</f>
        <v>655725</v>
      </c>
      <c r="S495" s="47">
        <f ca="1">S498+S501</f>
        <v>555527</v>
      </c>
      <c r="T495" s="47">
        <f ca="1">IF(Q495&gt;0,S495*100/Q495,0)</f>
        <v>85.726167971914663</v>
      </c>
      <c r="U495" s="47">
        <f ca="1">IF(R495&gt;0,S495*100/R495,0)</f>
        <v>84.719508940485724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28100</v>
      </c>
      <c r="M496" s="47">
        <f ca="1">M497+M498</f>
        <v>28100</v>
      </c>
      <c r="N496" s="47">
        <f ca="1">N497+N498</f>
        <v>28000</v>
      </c>
      <c r="O496" s="47">
        <f ca="1">IF(L496&gt;0,N496*100/L496,0)</f>
        <v>99.644128113879006</v>
      </c>
      <c r="P496" s="47">
        <f ca="1">IF(M496&gt;0,N496*100/M496,0)</f>
        <v>99.644128113879006</v>
      </c>
      <c r="Q496" s="47">
        <f ca="1">Q497+Q498</f>
        <v>648025</v>
      </c>
      <c r="R496" s="47">
        <f ca="1">R497+R498</f>
        <v>655725</v>
      </c>
      <c r="S496" s="47">
        <f ca="1">S497+S498</f>
        <v>555527</v>
      </c>
      <c r="T496" s="47">
        <f ca="1">IF(Q496&gt;0,S496*100/Q496,0)</f>
        <v>85.726167971914663</v>
      </c>
      <c r="U496" s="47">
        <f ca="1">IF(R496&gt;0,S496*100/R496,0)</f>
        <v>84.719508940485724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IFERROR(__xludf.DUMMYFUNCTION("IMPORTRANGE(""https://docs.google.com/spreadsheets/d/1-uDff_7J0KD5mKrp0Vvzr7lt3OU09vwQwhkpOPPYv2Y/edit?usp=sharing"",""งบพรบ!HU76"")"),28100)</f>
        <v>28100</v>
      </c>
      <c r="M498" s="47">
        <f ca="1">IFERROR(__xludf.DUMMYFUNCTION("IMPORTRANGE(""https://docs.google.com/spreadsheets/d/1-uDff_7J0KD5mKrp0Vvzr7lt3OU09vwQwhkpOPPYv2Y/edit?usp=sharing"",""งบพรบ!HZ76"")"),28100)</f>
        <v>28100</v>
      </c>
      <c r="N498" s="47">
        <f ca="1">IFERROR(__xludf.DUMMYFUNCTION("IMPORTRANGE(""https://docs.google.com/spreadsheets/d/1-uDff_7J0KD5mKrp0Vvzr7lt3OU09vwQwhkpOPPYv2Y/edit?usp=sharing"",""งบพรบ!IB76"")"),28000)</f>
        <v>28000</v>
      </c>
      <c r="O498" s="47">
        <f ca="1">IF(L498&gt;0,N498*100/L498,0)</f>
        <v>99.644128113879006</v>
      </c>
      <c r="P498" s="47">
        <f ca="1">IF(M498&gt;0,N498*100/M498,0)</f>
        <v>99.644128113879006</v>
      </c>
      <c r="Q498" s="47">
        <f ca="1">IFERROR(__xludf.DUMMYFUNCTION("IMPORTRANGE(""https://docs.google.com/spreadsheets/d/1ItG2mGa2ceCfYo0BwxsXqNm01IGEUdYcSSLTEv9YCik/edit?usp=sharing"",""เบิกจ่ายกองทุน!AD76"")"),648025)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IFERROR(__xludf.DUMMYFUNCTION("IMPORTRANGE(""https://docs.google.com/spreadsheets/d/1ItG2mGa2ceCfYo0BwxsXqNm01IGEUdYcSSLTEv9YCik/edit?usp=sharing"",""เบิกจ่ายกองทุน!AE76"")"),655725)</f>
        <v>655725</v>
      </c>
      <c r="S498" s="47">
        <f ca="1">IFERROR(__xludf.DUMMYFUNCTION("IMPORTRANGE(""https://docs.google.com/spreadsheets/d/1ItG2mGa2ceCfYo0BwxsXqNm01IGEUdYcSSLTEv9YCik/edit?usp=sharing"",""เบิกจ่ายกองทุน!AF76"")"),555527)</f>
        <v>555527</v>
      </c>
      <c r="T498" s="47">
        <f ca="1">IF(Q498&gt;0,S498*100/Q498,0)</f>
        <v>85.726167971914663</v>
      </c>
      <c r="U498" s="47">
        <f ca="1">IF(R498&gt;0,S498*100/R498,0)</f>
        <v>84.719508940485724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IFERROR(__xludf.DUMMYFUNCTION("IMPORTRANGE(""https://docs.google.com/spreadsheets/d/1-uDff_7J0KD5mKrp0Vvzr7lt3OU09vwQwhkpOPPYv2Y/edit?usp=sharing"",""งบพรบ!HX76"")"),0)</f>
        <v>0</v>
      </c>
      <c r="M501" s="47">
        <f ca="1">IFERROR(__xludf.DUMMYFUNCTION("IMPORTRANGE(""https://docs.google.com/spreadsheets/d/1-uDff_7J0KD5mKrp0Vvzr7lt3OU09vwQwhkpOPPYv2Y/edit?usp=sharing"",""งบพรบ!IA76"")"),0)</f>
        <v>0</v>
      </c>
      <c r="N501" s="47">
        <f ca="1">IFERROR(__xludf.DUMMYFUNCTION("IMPORTRANGE(""https://docs.google.com/spreadsheets/d/1-uDff_7J0KD5mKrp0Vvzr7lt3OU09vwQwhkpOPPYv2Y/edit?usp=sharing"",""งบพรบ!IC76"")"),0)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IFERROR(__xludf.DUMMYFUNCTION("IMPORTRANGE(""https://docs.google.com/spreadsheets/d/1eHaY18a8A9IcSdp1K8H6x8fbOy06t2VsZHhMHf-1x7Y/edit?usp=sharing"",""แผน!GX76"")"),50)</f>
        <v>50</v>
      </c>
      <c r="J503" s="147">
        <f>J505</f>
        <v>50</v>
      </c>
      <c r="K503" s="132">
        <f ca="1">IF(I503&gt;0,J503*100/I503,0)</f>
        <v>100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IFERROR(__xludf.DUMMYFUNCTION("IMPORTRANGE(""https://docs.google.com/spreadsheets/d/1eHaY18a8A9IcSdp1K8H6x8fbOy06t2VsZHhMHf-1x7Y/edit?usp=sharing"",""แผน!GY76"")"),50)</f>
        <v>50</v>
      </c>
      <c r="J504" s="167">
        <v>50</v>
      </c>
      <c r="K504" s="47">
        <f ca="1">IF(I504&gt;0,J504*100/I504,0)</f>
        <v>100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IFERROR(__xludf.DUMMYFUNCTION("IMPORTRANGE(""https://docs.google.com/spreadsheets/d/1eHaY18a8A9IcSdp1K8H6x8fbOy06t2VsZHhMHf-1x7Y/edit?usp=sharing"",""แผน!GZ76"")"),50)</f>
        <v>50</v>
      </c>
      <c r="J505" s="167">
        <v>50</v>
      </c>
      <c r="K505" s="47">
        <f ca="1">IF(I505&gt;0,J505*100/I505,0)</f>
        <v>100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IFERROR(__xludf.DUMMYFUNCTION("IMPORTRANGE(""https://docs.google.com/spreadsheets/d/1eHaY18a8A9IcSdp1K8H6x8fbOy06t2VsZHhMHf-1x7Y/edit?usp=sharing"",""แผน!HA76"")"),50)</f>
        <v>50</v>
      </c>
      <c r="J506" s="167">
        <v>50</v>
      </c>
      <c r="K506" s="47">
        <f ca="1">IF(I506&gt;0,J506*100/I506,0)</f>
        <v>100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IFERROR(__xludf.DUMMYFUNCTION("IMPORTRANGE(""https://docs.google.com/spreadsheets/d/1eHaY18a8A9IcSdp1K8H6x8fbOy06t2VsZHhMHf-1x7Y/edit?usp=sharing"",""แผน!HB76"")"),10)</f>
        <v>10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IFERROR(__xludf.DUMMYFUNCTION("IMPORTRANGE(""https://docs.google.com/spreadsheets/d/1-uDff_7J0KD5mKrp0Vvzr7lt3OU09vwQwhkpOPPYv2Y/edit?usp=sharing"",""งบพรบ!FW76"")"),0)</f>
        <v>0</v>
      </c>
      <c r="M539" s="47">
        <f ca="1">IFERROR(__xludf.DUMMYFUNCTION("IMPORTRANGE(""https://docs.google.com/spreadsheets/d/1-uDff_7J0KD5mKrp0Vvzr7lt3OU09vwQwhkpOPPYv2Y/edit?usp=sharing"",""งบพรบ!GB76"")"),0)</f>
        <v>0</v>
      </c>
      <c r="N539" s="47">
        <f ca="1">IFERROR(__xludf.DUMMYFUNCTION("IMPORTRANGE(""https://docs.google.com/spreadsheets/d/1-uDff_7J0KD5mKrp0Vvzr7lt3OU09vwQwhkpOPPYv2Y/edit?usp=sharing"",""งบพรบ!GD76"")"),0)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IFERROR(__xludf.DUMMYFUNCTION("IMPORTRANGE(""https://docs.google.com/spreadsheets/d/1-uDff_7J0KD5mKrp0Vvzr7lt3OU09vwQwhkpOPPYv2Y/edit?usp=sharing"",""งบพรบ!FZ76"")"),0)</f>
        <v>0</v>
      </c>
      <c r="M542" s="47">
        <f ca="1">IFERROR(__xludf.DUMMYFUNCTION("IMPORTRANGE(""https://docs.google.com/spreadsheets/d/1-uDff_7J0KD5mKrp0Vvzr7lt3OU09vwQwhkpOPPYv2Y/edit?usp=sharing"",""งบพรบ!GC76"")"),0)</f>
        <v>0</v>
      </c>
      <c r="N542" s="47">
        <f ca="1">IFERROR(__xludf.DUMMYFUNCTION("IMPORTRANGE(""https://docs.google.com/spreadsheets/d/1-uDff_7J0KD5mKrp0Vvzr7lt3OU09vwQwhkpOPPYv2Y/edit?usp=sharing"",""งบพรบ!GE76"")"),0)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IFERROR(__xludf.DUMMYFUNCTION("IMPORTRANGE(""https://docs.google.com/spreadsheets/d/1-uDff_7J0KD5mKrp0Vvzr7lt3OU09vwQwhkpOPPYv2Y/edit?usp=sharing"",""งบพรบ!GG76"")"),0)</f>
        <v>0</v>
      </c>
      <c r="M560" s="47">
        <f ca="1">IFERROR(__xludf.DUMMYFUNCTION("IMPORTRANGE(""https://docs.google.com/spreadsheets/d/1-uDff_7J0KD5mKrp0Vvzr7lt3OU09vwQwhkpOPPYv2Y/edit?usp=sharing"",""งบพรบ!GL76"")"),0)</f>
        <v>0</v>
      </c>
      <c r="N560" s="47">
        <f ca="1">IFERROR(__xludf.DUMMYFUNCTION("IMPORTRANGE(""https://docs.google.com/spreadsheets/d/1-uDff_7J0KD5mKrp0Vvzr7lt3OU09vwQwhkpOPPYv2Y/edit?usp=sharing"",""งบพรบ!GN76"")"),0)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IFERROR(__xludf.DUMMYFUNCTION("IMPORTRANGE(""https://docs.google.com/spreadsheets/d/1-uDff_7J0KD5mKrp0Vvzr7lt3OU09vwQwhkpOPPYv2Y/edit?usp=sharing"",""งบพรบ!GJ76"")"),0)</f>
        <v>0</v>
      </c>
      <c r="M563" s="47">
        <f ca="1">IFERROR(__xludf.DUMMYFUNCTION("IMPORTRANGE(""https://docs.google.com/spreadsheets/d/1-uDff_7J0KD5mKrp0Vvzr7lt3OU09vwQwhkpOPPYv2Y/edit?usp=sharing"",""งบพรบ!GM76"")"),0)</f>
        <v>0</v>
      </c>
      <c r="N563" s="47">
        <f ca="1">IFERROR(__xludf.DUMMYFUNCTION("IMPORTRANGE(""https://docs.google.com/spreadsheets/d/1-uDff_7J0KD5mKrp0Vvzr7lt3OU09vwQwhkpOPPYv2Y/edit?usp=sharing"",""งบพรบ!GO76"")"),0)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326820</v>
      </c>
      <c r="M576" s="132">
        <f ca="1">M577+M578</f>
        <v>326820</v>
      </c>
      <c r="N576" s="132">
        <f ca="1">N577+N578</f>
        <v>200571.25</v>
      </c>
      <c r="O576" s="132">
        <f ca="1">IF(L576&gt;0,N576*100/L576,0)</f>
        <v>61.370555657548501</v>
      </c>
      <c r="P576" s="132">
        <f ca="1">IF(M576&gt;0,N576*100/M576,0)</f>
        <v>61.370555657548501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326820</v>
      </c>
      <c r="M578" s="47">
        <f ca="1">M581+M584</f>
        <v>326820</v>
      </c>
      <c r="N578" s="47">
        <f ca="1">N581+N584</f>
        <v>200571.25</v>
      </c>
      <c r="O578" s="47">
        <f ca="1">IF(L578&gt;0,N578*100/L578,0)</f>
        <v>61.370555657548501</v>
      </c>
      <c r="P578" s="47">
        <f ca="1">IF(M578&gt;0,N578*100/M578,0)</f>
        <v>61.370555657548501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326820</v>
      </c>
      <c r="M579" s="47">
        <f ca="1">M580+M581</f>
        <v>326820</v>
      </c>
      <c r="N579" s="47">
        <f ca="1">N580+N581</f>
        <v>200571.25</v>
      </c>
      <c r="O579" s="47">
        <f ca="1">IF(L579&gt;0,N579*100/L579,0)</f>
        <v>61.370555657548501</v>
      </c>
      <c r="P579" s="47">
        <f ca="1">IF(M579&gt;0,N579*100/M579,0)</f>
        <v>61.370555657548501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IFERROR(__xludf.DUMMYFUNCTION("IMPORTRANGE(""https://docs.google.com/spreadsheets/d/1-uDff_7J0KD5mKrp0Vvzr7lt3OU09vwQwhkpOPPYv2Y/edit?usp=sharing"",""งบพรบ!GQ76"")"),326820)</f>
        <v>326820</v>
      </c>
      <c r="M581" s="47">
        <f ca="1">IFERROR(__xludf.DUMMYFUNCTION("IMPORTRANGE(""https://docs.google.com/spreadsheets/d/1-uDff_7J0KD5mKrp0Vvzr7lt3OU09vwQwhkpOPPYv2Y/edit?usp=sharing"",""งบพรบ!GV76"")"),326820)</f>
        <v>326820</v>
      </c>
      <c r="N581" s="47">
        <f ca="1">IFERROR(__xludf.DUMMYFUNCTION("IMPORTRANGE(""https://docs.google.com/spreadsheets/d/1-uDff_7J0KD5mKrp0Vvzr7lt3OU09vwQwhkpOPPYv2Y/edit?usp=sharing"",""งบพรบ!GX76"")"),200571.25)</f>
        <v>200571.25</v>
      </c>
      <c r="O581" s="47">
        <f ca="1">IF(L581&gt;0,N581*100/L581,0)</f>
        <v>61.370555657548501</v>
      </c>
      <c r="P581" s="47">
        <f ca="1">IF(M581&gt;0,N581*100/M581,0)</f>
        <v>61.370555657548501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IFERROR(__xludf.DUMMYFUNCTION("IMPORTRANGE(""https://docs.google.com/spreadsheets/d/1-uDff_7J0KD5mKrp0Vvzr7lt3OU09vwQwhkpOPPYv2Y/edit?usp=sharing"",""งบพรบ!GT76"")"),0)</f>
        <v>0</v>
      </c>
      <c r="M584" s="47">
        <f ca="1">IFERROR(__xludf.DUMMYFUNCTION("IMPORTRANGE(""https://docs.google.com/spreadsheets/d/1-uDff_7J0KD5mKrp0Vvzr7lt3OU09vwQwhkpOPPYv2Y/edit?usp=sharing"",""งบพรบ!GW76"")"),0)</f>
        <v>0</v>
      </c>
      <c r="N584" s="47">
        <f ca="1">IFERROR(__xludf.DUMMYFUNCTION("IMPORTRANGE(""https://docs.google.com/spreadsheets/d/1-uDff_7J0KD5mKrp0Vvzr7lt3OU09vwQwhkpOPPYv2Y/edit?usp=sharing"",""งบพรบ!GY76"")"),0)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IFERROR(__xludf.DUMMYFUNCTION("IMPORTRANGE(""https://docs.google.com/spreadsheets/d/1-uDff_7J0KD5mKrp0Vvzr7lt3OU09vwQwhkpOPPYv2Y/edit?usp=sharing"",""งบพรบ!HK76"")"),0)</f>
        <v>0</v>
      </c>
      <c r="M604" s="47">
        <f ca="1">IFERROR(__xludf.DUMMYFUNCTION("IMPORTRANGE(""https://docs.google.com/spreadsheets/d/1-uDff_7J0KD5mKrp0Vvzr7lt3OU09vwQwhkpOPPYv2Y/edit?usp=sharing"",""งบพรบ!HP76"")"),0)</f>
        <v>0</v>
      </c>
      <c r="N604" s="47">
        <f ca="1">IFERROR(__xludf.DUMMYFUNCTION("IMPORTRANGE(""https://docs.google.com/spreadsheets/d/1-uDff_7J0KD5mKrp0Vvzr7lt3OU09vwQwhkpOPPYv2Y/edit?usp=sharing"",""งบพรบ!HR76"")"),0)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IFERROR(__xludf.DUMMYFUNCTION("IMPORTRANGE(""https://docs.google.com/spreadsheets/d/1ItG2mGa2ceCfYo0BwxsXqNm01IGEUdYcSSLTEv9YCik/edit?usp=sharing"",""เบิกจ่ายกองทุน!AX76"")"),0)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IFERROR(__xludf.DUMMYFUNCTION("IMPORTRANGE(""https://docs.google.com/spreadsheets/d/1-uDff_7J0KD5mKrp0Vvzr7lt3OU09vwQwhkpOPPYv2Y/edit?usp=sharing"",""งบพรบ!HN76"")"),0)</f>
        <v>0</v>
      </c>
      <c r="M607" s="47">
        <f ca="1">IFERROR(__xludf.DUMMYFUNCTION("IMPORTRANGE(""https://docs.google.com/spreadsheets/d/1-uDff_7J0KD5mKrp0Vvzr7lt3OU09vwQwhkpOPPYv2Y/edit?usp=sharing"",""งบพรบ!HQ76"")"),0)</f>
        <v>0</v>
      </c>
      <c r="N607" s="47">
        <f ca="1">IFERROR(__xludf.DUMMYFUNCTION("IMPORTRANGE(""https://docs.google.com/spreadsheets/d/1-uDff_7J0KD5mKrp0Vvzr7lt3OU09vwQwhkpOPPYv2Y/edit?usp=sharing"",""งบพรบ!HS76"")"),0)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IFERROR(__xludf.DUMMYFUNCTION("IMPORTRANGE(""https://docs.google.com/spreadsheets/d/1ItG2mGa2ceCfYo0BwxsXqNm01IGEUdYcSSLTEv9YCik/edit?usp=sharing"",""เบิกจ่ายกองทุน!BA76"")"),0)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IFERROR(__xludf.DUMMYFUNCTION("IMPORTRANGE(""https://docs.google.com/spreadsheets/d/1eHaY18a8A9IcSdp1K8H6x8fbOy06t2VsZHhMHf-1x7Y/edit?usp=sharing"",""แผน!IC76"")"),1)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IFERROR(__xludf.DUMMYFUNCTION("IMPORTRANGE(""https://docs.google.com/spreadsheets/d/1eHaY18a8A9IcSdp1K8H6x8fbOy06t2VsZHhMHf-1x7Y/edit?usp=sharing"",""แผน!IF76"")"),0)</f>
        <v>0</v>
      </c>
      <c r="J652" s="15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IFERROR(__xludf.DUMMYFUNCTION("IMPORTRANGE(""https://docs.google.com/spreadsheets/d/1eHaY18a8A9IcSdp1K8H6x8fbOy06t2VsZHhMHf-1x7Y/edit?usp=sharing"",""แผน!IG76"")"),0)</f>
        <v>0</v>
      </c>
      <c r="J653" s="15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IFERROR(__xludf.DUMMYFUNCTION("IMPORTRANGE(""https://docs.google.com/spreadsheets/d/1eHaY18a8A9IcSdp1K8H6x8fbOy06t2VsZHhMHf-1x7Y/edit?usp=sharing"",""แผน!IL76"")"),0)</f>
        <v>0</v>
      </c>
      <c r="J673" s="15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IFERROR(__xludf.DUMMYFUNCTION("IMPORTRANGE(""https://docs.google.com/spreadsheets/d/1eHaY18a8A9IcSdp1K8H6x8fbOy06t2VsZHhMHf-1x7Y/edit?usp=sharing"",""แผน!IO76"")"),0)</f>
        <v>0</v>
      </c>
      <c r="J676" s="15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IFERROR(__xludf.DUMMYFUNCTION("IMPORTRANGE(""https://docs.google.com/spreadsheets/d/1eHaY18a8A9IcSdp1K8H6x8fbOy06t2VsZHhMHf-1x7Y/edit?usp=sharing"",""แผน!IP76"")"),0)</f>
        <v>0</v>
      </c>
      <c r="J678" s="15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IFERROR(__xludf.DUMMYFUNCTION("IMPORTRANGE(""https://docs.google.com/spreadsheets/d/1eHaY18a8A9IcSdp1K8H6x8fbOy06t2VsZHhMHf-1x7Y/edit?usp=sharing"",""แผน!IQ76"")"),0)</f>
        <v>0</v>
      </c>
      <c r="J679" s="15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IFERROR(__xludf.DUMMYFUNCTION("IMPORTRANGE(""https://docs.google.com/spreadsheets/d/1eHaY18a8A9IcSdp1K8H6x8fbOy06t2VsZHhMHf-1x7Y/edit?usp=sharing"",""แผน!IR76"")"),0)</f>
        <v>0</v>
      </c>
      <c r="J681" s="15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65890</v>
      </c>
      <c r="R690" s="132">
        <f ca="1">R691+R692</f>
        <v>65890</v>
      </c>
      <c r="S690" s="132">
        <f ca="1">S691+S692</f>
        <v>5718.09</v>
      </c>
      <c r="T690" s="132">
        <f ca="1">IF(Q690&gt;0,S690*100/Q690,0)</f>
        <v>8.6782364546972222</v>
      </c>
      <c r="U690" s="132">
        <f ca="1">IF(R690&gt;0,S690*100/R690,0)</f>
        <v>8.6782364546972222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65890</v>
      </c>
      <c r="R692" s="47">
        <f ca="1">R695+R698</f>
        <v>65890</v>
      </c>
      <c r="S692" s="47">
        <f ca="1">S695+S698</f>
        <v>5718.09</v>
      </c>
      <c r="T692" s="47">
        <f ca="1">IF(Q692&gt;0,S692*100/Q692,0)</f>
        <v>8.6782364546972222</v>
      </c>
      <c r="U692" s="47">
        <f ca="1">IF(R692&gt;0,S692*100/R692,0)</f>
        <v>8.6782364546972222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65890</v>
      </c>
      <c r="R693" s="47">
        <f ca="1">R694+R695</f>
        <v>65890</v>
      </c>
      <c r="S693" s="47">
        <f ca="1">S694+S695</f>
        <v>5718.09</v>
      </c>
      <c r="T693" s="47">
        <f ca="1">IF(Q693&gt;0,S693*100/Q693,0)</f>
        <v>8.6782364546972222</v>
      </c>
      <c r="U693" s="47">
        <f ca="1">IF(R693&gt;0,S693*100/R693,0)</f>
        <v>8.6782364546972222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IFERROR(__xludf.DUMMYFUNCTION("IMPORTRANGE(""https://docs.google.com/spreadsheets/d/1ItG2mGa2ceCfYo0BwxsXqNm01IGEUdYcSSLTEv9YCik/edit?usp=sharing"",""เบิกจ่ายกองทุน!N76"")"),5718.09)</f>
        <v>5718.09</v>
      </c>
      <c r="T695" s="47">
        <f ca="1">IF(Q695&gt;0,S695*100/Q695,0)</f>
        <v>8.6782364546972222</v>
      </c>
      <c r="U695" s="47">
        <f ca="1">IF(R695&gt;0,S695*100/R695,0)</f>
        <v>8.6782364546972222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IFERROR(__xludf.DUMMYFUNCTION("IMPORTRANGE(""https://docs.google.com/spreadsheets/d/1eHaY18a8A9IcSdp1K8H6x8fbOy06t2VsZHhMHf-1x7Y/edit?usp=sharing"",""แผน!LJ76"")"),0)</f>
        <v>0</v>
      </c>
      <c r="J703" s="15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IFERROR(__xludf.DUMMYFUNCTION("IMPORTRANGE(""https://docs.google.com/spreadsheets/d/1eHaY18a8A9IcSdp1K8H6x8fbOy06t2VsZHhMHf-1x7Y/edit?usp=sharing"",""แผน!LK76"")"),5)</f>
        <v>5</v>
      </c>
      <c r="J705" s="152">
        <f ca="1">IFERROR(__xludf.DUMMYFUNCTION("IMPORTRANGE(""https://docs.google.com/spreadsheets/d/1tdoBKaGub7dwA3U6UFTqxio9LNnvDCQjHKmttSEBsFQ/edit?usp=sharing"",""จัดที่ดิน!AR76"")"),0)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IFERROR(__xludf.DUMMYFUNCTION("IMPORTRANGE(""https://docs.google.com/spreadsheets/d/1eHaY18a8A9IcSdp1K8H6x8fbOy06t2VsZHhMHf-1x7Y/edit?usp=sharing"",""แผน!LJ76"")"),0)</f>
        <v>0</v>
      </c>
      <c r="J707" s="15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IFERROR(__xludf.DUMMYFUNCTION("IMPORTRANGE(""https://docs.google.com/spreadsheets/d/1eHaY18a8A9IcSdp1K8H6x8fbOy06t2VsZHhMHf-1x7Y/edit?usp=sharing"",""แผน!LK76"")"),5)</f>
        <v>5</v>
      </c>
      <c r="J709" s="152">
        <f ca="1">IFERROR(__xludf.DUMMYFUNCTION("IMPORTRANGE(""https://docs.google.com/spreadsheets/d/1tdoBKaGub7dwA3U6UFTqxio9LNnvDCQjHKmttSEBsFQ/edit?usp=sharing"",""จัดที่ดิน!BP76"")"),6)</f>
        <v>6</v>
      </c>
      <c r="K709" s="47">
        <f ca="1">IF(I709&gt;0,J709*100/I709,0)</f>
        <v>120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IFERROR(__xludf.DUMMYFUNCTION("IMPORTRANGE(""https://docs.google.com/spreadsheets/d/1eHaY18a8A9IcSdp1K8H6x8fbOy06t2VsZHhMHf-1x7Y/edit?usp=sharing"",""แผน!GA76"")"),21)</f>
        <v>21</v>
      </c>
      <c r="J726" s="483">
        <f>J742+J746+J749</f>
        <v>21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IFERROR(__xludf.DUMMYFUNCTION("IMPORTRANGE(""https://docs.google.com/spreadsheets/d/1eHaY18a8A9IcSdp1K8H6x8fbOy06t2VsZHhMHf-1x7Y/edit?usp=sharing"",""แผน!FZ76"")"),200)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200494</v>
      </c>
      <c r="S728" s="132">
        <f ca="1">S729+S730</f>
        <v>61610</v>
      </c>
      <c r="T728" s="132">
        <f ca="1">IF(Q728&gt;0,S728*100/Q728,0)</f>
        <v>35.006875234382989</v>
      </c>
      <c r="U728" s="132">
        <f ca="1">IF(R728&gt;0,S728*100/R728,0)</f>
        <v>30.729099125160854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200494</v>
      </c>
      <c r="S730" s="47">
        <f ca="1">S733+S736</f>
        <v>61610</v>
      </c>
      <c r="T730" s="47">
        <f ca="1">IF(Q730&gt;0,S730*100/Q730,0)</f>
        <v>35.006875234382989</v>
      </c>
      <c r="U730" s="47">
        <f ca="1">IF(R730&gt;0,S730*100/R730,0)</f>
        <v>30.729099125160854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200494</v>
      </c>
      <c r="S731" s="47">
        <f ca="1">S732+S733</f>
        <v>61610</v>
      </c>
      <c r="T731" s="47">
        <f ca="1">IF(Q731&gt;0,S731*100/Q731,0)</f>
        <v>35.006875234382989</v>
      </c>
      <c r="U731" s="47">
        <f ca="1">IF(R731&gt;0,S731*100/R731,0)</f>
        <v>30.729099125160854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IFERROR(__xludf.DUMMYFUNCTION("IMPORTRANGE(""https://docs.google.com/spreadsheets/d/1ItG2mGa2ceCfYo0BwxsXqNm01IGEUdYcSSLTEv9YCik/edit?usp=sharing"",""เบิกจ่ายกองทุน!Q76"")"),61610)</f>
        <v>61610</v>
      </c>
      <c r="T733" s="47">
        <f ca="1">IF(Q733&gt;0,S733*100/Q733,0)</f>
        <v>35.006875234382989</v>
      </c>
      <c r="U733" s="47">
        <f ca="1">IF(R733&gt;0,S733*100/R733,0)</f>
        <v>30.729099125160854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IFERROR(__xludf.DUMMYFUNCTION("IMPORTRANGE(""https://docs.google.com/spreadsheets/d/1eHaY18a8A9IcSdp1K8H6x8fbOy06t2VsZHhMHf-1x7Y/edit?usp=sharing"",""แผน!GB76"")"),160)</f>
        <v>160</v>
      </c>
      <c r="J740" s="554">
        <v>160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IFERROR(__xludf.DUMMYFUNCTION("IMPORTRANGE(""https://docs.google.com/spreadsheets/d/1eHaY18a8A9IcSdp1K8H6x8fbOy06t2VsZHhMHf-1x7Y/edit?usp=sharing"",""แผน!GC76"")"),16)</f>
        <v>16</v>
      </c>
      <c r="J742" s="554">
        <v>16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IFERROR(__xludf.DUMMYFUNCTION("IMPORTRANGE(""https://docs.google.com/spreadsheets/d/1eHaY18a8A9IcSdp1K8H6x8fbOy06t2VsZHhMHf-1x7Y/edit?usp=sharing"",""แผน!GD76"")"),40)</f>
        <v>40</v>
      </c>
      <c r="J744" s="554">
        <v>40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IFERROR(__xludf.DUMMYFUNCTION("IMPORTRANGE(""https://docs.google.com/spreadsheets/d/1eHaY18a8A9IcSdp1K8H6x8fbOy06t2VsZHhMHf-1x7Y/edit?usp=sharing"",""แผน!GE76"")"),4)</f>
        <v>4</v>
      </c>
      <c r="J746" s="554">
        <v>4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IFERROR(__xludf.DUMMYFUNCTION("IMPORTRANGE(""https://docs.google.com/spreadsheets/d/1eHaY18a8A9IcSdp1K8H6x8fbOy06t2VsZHhMHf-1x7Y/edit?usp=sharing"",""แผน!GB76"")"),160)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IFERROR(__xludf.DUMMYFUNCTION("IMPORTRANGE(""https://docs.google.com/spreadsheets/d/1eHaY18a8A9IcSdp1K8H6x8fbOy06t2VsZHhMHf-1x7Y/edit?usp=sharing"",""แผน!GD76"")"),40)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40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200</v>
      </c>
      <c r="J759" s="483">
        <f>J774</f>
        <v>200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463980</v>
      </c>
      <c r="R760" s="132">
        <f ca="1">R761+R762</f>
        <v>463980</v>
      </c>
      <c r="S760" s="132">
        <f ca="1">S761+S762</f>
        <v>150994</v>
      </c>
      <c r="T760" s="132">
        <f ca="1">IF(Q760&gt;0,S760*100/Q760,0)</f>
        <v>32.543213069528861</v>
      </c>
      <c r="U760" s="132">
        <f ca="1">IF(R760&gt;0,S760*100/R760,0)</f>
        <v>32.543213069528861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463980</v>
      </c>
      <c r="R762" s="47">
        <f ca="1">R765+R768</f>
        <v>463980</v>
      </c>
      <c r="S762" s="47">
        <f ca="1">S765+S768</f>
        <v>150994</v>
      </c>
      <c r="T762" s="47">
        <f ca="1">IF(Q762&gt;0,S762*100/Q762,0)</f>
        <v>32.543213069528861</v>
      </c>
      <c r="U762" s="47">
        <f ca="1">IF(R762&gt;0,S762*100/R762,0)</f>
        <v>32.543213069528861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463980</v>
      </c>
      <c r="R763" s="47">
        <f ca="1">R764+R765</f>
        <v>463980</v>
      </c>
      <c r="S763" s="47">
        <f ca="1">S764+S765</f>
        <v>150994</v>
      </c>
      <c r="T763" s="47">
        <f ca="1">IF(Q763&gt;0,S763*100/Q763,0)</f>
        <v>32.543213069528861</v>
      </c>
      <c r="U763" s="47">
        <f ca="1">IF(R763&gt;0,S763*100/R763,0)</f>
        <v>32.543213069528861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IFERROR(__xludf.DUMMYFUNCTION("IMPORTRANGE(""https://docs.google.com/spreadsheets/d/1ItG2mGa2ceCfYo0BwxsXqNm01IGEUdYcSSLTEv9YCik/edit?usp=sharing"",""เบิกจ่ายกองทุน!AB76"")"),463980)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IFERROR(__xludf.DUMMYFUNCTION("IMPORTRANGE(""https://docs.google.com/spreadsheets/d/1ItG2mGa2ceCfYo0BwxsXqNm01IGEUdYcSSLTEv9YCik/edit?usp=sharing"",""เบิกจ่ายกองทุน!AC76"")"),150994)</f>
        <v>150994</v>
      </c>
      <c r="T765" s="47">
        <f ca="1">IF(Q765&gt;0,S765*100/Q765,0)</f>
        <v>32.543213069528861</v>
      </c>
      <c r="U765" s="47">
        <f ca="1">IF(R765&gt;0,S765*100/R765,0)</f>
        <v>32.543213069528861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IFERROR(__xludf.DUMMYFUNCTION("IMPORTRANGE(""https://docs.google.com/spreadsheets/d/1eHaY18a8A9IcSdp1K8H6x8fbOy06t2VsZHhMHf-1x7Y/edit?usp=sharing"",""แผน!FI76"")"),1)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40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200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IFERROR(__xludf.DUMMYFUNCTION("IMPORTRANGE(""https://docs.google.com/spreadsheets/d/1eHaY18a8A9IcSdp1K8H6x8fbOy06t2VsZHhMHf-1x7Y/edit?usp=sharing"",""แผน!FT76"")"),40)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IFERROR(__xludf.DUMMYFUNCTION("IMPORTRANGE(""https://docs.google.com/spreadsheets/d/10OvvATaaLtwErnr3qtWFcTmtbfpFEt5Bsqel9sXx0uE/edit?usp=sharing"",""งานกองทุน!D76"")"),586887.43)</f>
        <v>586887.43000000005</v>
      </c>
      <c r="J778" s="152">
        <f ca="1">IFERROR(__xludf.DUMMYFUNCTION("IMPORTRANGE(""https://docs.google.com/spreadsheets/d/10OvvATaaLtwErnr3qtWFcTmtbfpFEt5Bsqel9sXx0uE/edit?usp=sharing"",""งานกองทุน!F76"")"),585908.47)</f>
        <v>585908.47</v>
      </c>
      <c r="K778" s="47">
        <f ca="1">IF(I778&gt;0,J778*100/I778,0)</f>
        <v>99.833194587248173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IFERROR(__xludf.DUMMYFUNCTION("IMPORTRANGE(""https://docs.google.com/spreadsheets/d/10OvvATaaLtwErnr3qtWFcTmtbfpFEt5Bsqel9sXx0uE/edit?usp=sharing"",""งานกองทุน!C76"")"),59)</f>
        <v>59</v>
      </c>
      <c r="J779" s="152">
        <f ca="1">IFERROR(__xludf.DUMMYFUNCTION("IMPORTRANGE(""https://docs.google.com/spreadsheets/d/10OvvATaaLtwErnr3qtWFcTmtbfpFEt5Bsqel9sXx0uE/edit?usp=sharing"",""งานกองทุน!E76"")"),60)</f>
        <v>60</v>
      </c>
      <c r="K779" s="47">
        <f ca="1">IF(I779&gt;0,J779*100/I779,0)</f>
        <v>101.69491525423729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0" s="152">
        <f ca="1">IFERROR(__xludf.DUMMYFUNCTION("IMPORTRANGE(""https://docs.google.com/spreadsheets/d/10OvvATaaLtwErnr3qtWFcTmtbfpFEt5Bsqel9sXx0uE/edit?usp=sharing"",""งานกองทุน!K76"")"),159719.38)</f>
        <v>159719.38</v>
      </c>
      <c r="K780" s="47">
        <f ca="1">IF(I780&gt;0,J780*100/I780,0)</f>
        <v>40.445679079560954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IFERROR(__xludf.DUMMYFUNCTION("IMPORTRANGE(""https://docs.google.com/spreadsheets/d/10OvvATaaLtwErnr3qtWFcTmtbfpFEt5Bsqel9sXx0uE/edit?usp=sharing"",""งานกองทุน!H76"")"),17)</f>
        <v>17</v>
      </c>
      <c r="J781" s="152">
        <f ca="1">IFERROR(__xludf.DUMMYFUNCTION("IMPORTRANGE(""https://docs.google.com/spreadsheets/d/10OvvATaaLtwErnr3qtWFcTmtbfpFEt5Bsqel9sXx0uE/edit?usp=sharing"",""งานกองทุน!J76"")"),9)</f>
        <v>9</v>
      </c>
      <c r="K781" s="47">
        <f ca="1">IF(I781&gt;0,J781*100/I781,0)</f>
        <v>52.941176470588232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IFERROR(__xludf.DUMMYFUNCTION("IMPORTRANGE(""https://docs.google.com/spreadsheets/d/10OvvATaaLtwErnr3qtWFcTmtbfpFEt5Bsqel9sXx0uE/edit?usp=sharing"",""งานกองทุน!N76"")"),0)</f>
        <v>0</v>
      </c>
      <c r="J782" s="15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IFERROR(__xludf.DUMMYFUNCTION("IMPORTRANGE(""https://docs.google.com/spreadsheets/d/10OvvATaaLtwErnr3qtWFcTmtbfpFEt5Bsqel9sXx0uE/edit?usp=sharing"",""งานกองทุน!M76"")"),0)</f>
        <v>0</v>
      </c>
      <c r="J783" s="15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IFERROR(__xludf.DUMMYFUNCTION("IMPORTRANGE(""https://docs.google.com/spreadsheets/d/10OvvATaaLtwErnr3qtWFcTmtbfpFEt5Bsqel9sXx0uE/edit?usp=sharing"",""งานกองทุน!S76"")"),2016000)</f>
        <v>2016000</v>
      </c>
      <c r="J784" s="152">
        <f ca="1">IFERROR(__xludf.DUMMYFUNCTION("IMPORTRANGE(""https://docs.google.com/spreadsheets/d/10OvvATaaLtwErnr3qtWFcTmtbfpFEt5Bsqel9sXx0uE/edit?usp=sharing"",""งานกองทุน!U76"")"),2016000)</f>
        <v>2016000</v>
      </c>
      <c r="K784" s="47">
        <f ca="1">IF(I784&gt;0,J784*100/I784,0)</f>
        <v>100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IFERROR(__xludf.DUMMYFUNCTION("IMPORTRANGE(""https://docs.google.com/spreadsheets/d/10OvvATaaLtwErnr3qtWFcTmtbfpFEt5Bsqel9sXx0uE/edit?usp=sharing"",""งานกองทุน!R76"")"),72)</f>
        <v>72</v>
      </c>
      <c r="J785" s="197">
        <f ca="1">IFERROR(__xludf.DUMMYFUNCTION("IMPORTRANGE(""https://docs.google.com/spreadsheets/d/10OvvATaaLtwErnr3qtWFcTmtbfpFEt5Bsqel9sXx0uE/edit?usp=sharing"",""งานกองทุน!T76"")"),48)</f>
        <v>48</v>
      </c>
      <c r="K785" s="111">
        <f ca="1">IF(I785&gt;0,J785*100/I785,0)</f>
        <v>66.666666666666671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G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72EA-E48E-4B8F-85F4-C2EAE65706B7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2470330</v>
      </c>
      <c r="M18" s="35">
        <f ca="1">M19+M20</f>
        <v>2617187.96</v>
      </c>
      <c r="N18" s="35">
        <f ca="1">N19+N20</f>
        <v>1921923.28</v>
      </c>
      <c r="O18" s="35">
        <f ca="1">IF(L18&gt;0,N18*100/L18,0)</f>
        <v>77.800264741957548</v>
      </c>
      <c r="P18" s="35">
        <f ca="1">IF(M18&gt;0,N18*100/M18,0)</f>
        <v>73.434667642288858</v>
      </c>
      <c r="Q18" s="35">
        <f ca="1">Q19+Q20</f>
        <v>1250142.17</v>
      </c>
      <c r="R18" s="35">
        <f ca="1">R19+R20</f>
        <v>1250142</v>
      </c>
      <c r="S18" s="35">
        <f ca="1">S19+S20</f>
        <v>244188.49</v>
      </c>
      <c r="T18" s="35">
        <f ca="1">IF(Q18&gt;0,S18*100/Q18,0)</f>
        <v>19.532857610906767</v>
      </c>
      <c r="U18" s="35">
        <f ca="1">IF(R18&gt;0,S18*100/R18,0)</f>
        <v>19.532860267073662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2470330</v>
      </c>
      <c r="M20" s="39">
        <f ca="1">M23+M26</f>
        <v>2617187.96</v>
      </c>
      <c r="N20" s="39">
        <f ca="1">N23+N26</f>
        <v>1921923.28</v>
      </c>
      <c r="O20" s="39">
        <f ca="1">IF(L20&gt;0,N20*100/L20,0)</f>
        <v>77.800264741957548</v>
      </c>
      <c r="P20" s="39">
        <f ca="1">IF(M20&gt;0,N20*100/M20,0)</f>
        <v>73.434667642288858</v>
      </c>
      <c r="Q20" s="39">
        <f ca="1">Q23+Q26</f>
        <v>1250142.17</v>
      </c>
      <c r="R20" s="39">
        <f ca="1">R23+R26</f>
        <v>1250142</v>
      </c>
      <c r="S20" s="39">
        <f ca="1">S23+S26</f>
        <v>244188.49</v>
      </c>
      <c r="T20" s="39">
        <f ca="1">IF(Q20&gt;0,S20*100/Q20,0)</f>
        <v>19.532857610906767</v>
      </c>
      <c r="U20" s="39">
        <f ca="1">IF(R20&gt;0,S20*100/R20,0)</f>
        <v>19.532860267073662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2470330</v>
      </c>
      <c r="M21" s="47">
        <f ca="1">M22+M23</f>
        <v>2617187.96</v>
      </c>
      <c r="N21" s="47">
        <f ca="1">N22+N23</f>
        <v>1921923.28</v>
      </c>
      <c r="O21" s="47">
        <f ca="1">IF(L21&gt;0,N21*100/L21,0)</f>
        <v>77.800264741957548</v>
      </c>
      <c r="P21" s="47">
        <f ca="1">IF(M21&gt;0,N21*100/M21,0)</f>
        <v>73.434667642288858</v>
      </c>
      <c r="Q21" s="47">
        <f ca="1">Q22+Q23</f>
        <v>1120142.17</v>
      </c>
      <c r="R21" s="47">
        <f ca="1">R22+R23</f>
        <v>1120142</v>
      </c>
      <c r="S21" s="47">
        <f ca="1">S22+S23</f>
        <v>244188.49</v>
      </c>
      <c r="T21" s="47">
        <f ca="1">IF(Q21&gt;0,S21*100/Q21,0)</f>
        <v>21.799776540865345</v>
      </c>
      <c r="U21" s="47">
        <f ca="1">IF(R21&gt;0,S21*100/R21,0)</f>
        <v>21.799779849340531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2470330</v>
      </c>
      <c r="M23" s="47">
        <f ca="1">M49+M64+M77+M99+M122+M144+M162+M191+M178+M271+M287+M308+M325+M338+M361+M380+M418+M498+M518+M539+M560+M581+M604+M621+M647+M695+M719+M733+M765</f>
        <v>2617187.96</v>
      </c>
      <c r="N23" s="47">
        <f ca="1">N49+N64+N77+N99+N122+N144+N162+N191+N178+N271+N287+N308+N325+N338+N361+N380+N418+N498+N518+N539+N560+N581+N604+N621+N647+N695+N719+N733+N765</f>
        <v>1921923.28</v>
      </c>
      <c r="O23" s="47">
        <f ca="1">IF(L23&gt;0,N23*100/L23,0)</f>
        <v>77.800264741957548</v>
      </c>
      <c r="P23" s="47">
        <f ca="1">IF(M23&gt;0,N23*100/M23,0)</f>
        <v>73.434667642288858</v>
      </c>
      <c r="Q23" s="47">
        <f ca="1">Q77+Q99+Q122+Q144+Q162+Q178+Q191+Q271+Q287+Q308+Q338+Q380+Q397+Q418+Q498+Q604+Q621+Q647+Q695+Q719+Q733+Q765</f>
        <v>1120142.17</v>
      </c>
      <c r="R23" s="47">
        <f ca="1">R77+R99+R122+R144+R162+R178+R191+R271+R287+R308+R338+R380+R397+R418+R498+R604+R621+R647+R695+R719+R733+R765</f>
        <v>1120142</v>
      </c>
      <c r="S23" s="47">
        <f ca="1">S77+S99+S122+S144+S162+S178+S191+S271+S287+S308+S338+S380+S397+S418+S498+S604+S621+S647+S695+S719+S733+S765</f>
        <v>244188.49</v>
      </c>
      <c r="T23" s="47">
        <f ca="1">IF(Q23&gt;0,S23*100/Q23,0)</f>
        <v>21.799776540865345</v>
      </c>
      <c r="U23" s="47">
        <f ca="1">IF(R23&gt;0,S23*100/R23,0)</f>
        <v>21.799779849340531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130000</v>
      </c>
      <c r="R24" s="47">
        <f ca="1">R25+R26</f>
        <v>130000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130000</v>
      </c>
      <c r="R26" s="49">
        <f ca="1">R80+R102+R125+R147+R165+R181+R194+R274+R290+R311+R341+R383+R400+R421+R501+R607+R624+R650+R698+R722+R736+R768</f>
        <v>130000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2067050</v>
      </c>
      <c r="M40" s="803">
        <f ca="1">M44+M59+M72+M94+M125+M139+M157+M173+M186+M266+M282+M303+M320+M333+M356</f>
        <v>2213907.96</v>
      </c>
      <c r="N40" s="803">
        <f ca="1">N44+N59+N72+N94+N125+N139+N157+N173+N186+N266+N282+N303+N320+N333+N356</f>
        <v>1854669.83</v>
      </c>
      <c r="O40" s="803">
        <f ca="1">IF(L40&gt;0,N40*100/L40,0)</f>
        <v>89.72544592535256</v>
      </c>
      <c r="P40" s="803">
        <f ca="1">IF(M40&gt;0,N40*100/M40,0)</f>
        <v>83.77357430884345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352000</v>
      </c>
      <c r="M44" s="79">
        <f ca="1">M45+M46</f>
        <v>412907.96</v>
      </c>
      <c r="N44" s="79">
        <f ca="1">N45+N46</f>
        <v>333907.96000000002</v>
      </c>
      <c r="O44" s="79">
        <f ca="1">IF(L44&gt;0,N44*100/L44,0)</f>
        <v>94.860215909090925</v>
      </c>
      <c r="P44" s="79">
        <f ca="1">IF(M44&gt;0,N44*100/M44,0)</f>
        <v>80.867406867138143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352000</v>
      </c>
      <c r="M46" s="83">
        <f ca="1">M49+M52</f>
        <v>412907.96</v>
      </c>
      <c r="N46" s="83">
        <f ca="1">N49+N52</f>
        <v>333907.96000000002</v>
      </c>
      <c r="O46" s="83">
        <f ca="1">IF(L46&gt;0,N46*100/L46,0)</f>
        <v>94.860215909090925</v>
      </c>
      <c r="P46" s="83">
        <f ca="1">IF(M46&gt;0,N46*100/M46,0)</f>
        <v>80.867406867138143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352000</v>
      </c>
      <c r="M47" s="47">
        <f ca="1">M48+M49</f>
        <v>412907.96</v>
      </c>
      <c r="N47" s="47">
        <f ca="1">N48+N49</f>
        <v>333907.96000000002</v>
      </c>
      <c r="O47" s="47">
        <f ca="1">IF(L47&gt;0,N47*100/L47,0)</f>
        <v>94.860215909090925</v>
      </c>
      <c r="P47" s="47">
        <f ca="1">IF(M47&gt;0,N47*100/M47,0)</f>
        <v>80.867406867138143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IFERROR(__xludf.DUMMYFUNCTION("IMPORTRANGE(""https://docs.google.com/spreadsheets/d/1-uDff_7J0KD5mKrp0Vvzr7lt3OU09vwQwhkpOPPYv2Y/edit?usp=sharing"",""งบพรบ!P77"")"),352000)</f>
        <v>352000</v>
      </c>
      <c r="M49" s="47">
        <f ca="1">IFERROR(__xludf.DUMMYFUNCTION("IMPORTRANGE(""https://docs.google.com/spreadsheets/d/1-uDff_7J0KD5mKrp0Vvzr7lt3OU09vwQwhkpOPPYv2Y/edit?usp=sharing"",""งบพรบ!V77"")"),412907.96)</f>
        <v>412907.96</v>
      </c>
      <c r="N49" s="47">
        <f ca="1">IFERROR(__xludf.DUMMYFUNCTION("IMPORTRANGE(""https://docs.google.com/spreadsheets/d/1-uDff_7J0KD5mKrp0Vvzr7lt3OU09vwQwhkpOPPYv2Y/edit?usp=sharing"",""งบพรบ!Y77"")"),333907.96)</f>
        <v>333907.96000000002</v>
      </c>
      <c r="O49" s="47">
        <f ca="1">IF(L49&gt;0,N49*100/L49,0)</f>
        <v>94.860215909090925</v>
      </c>
      <c r="P49" s="47">
        <f ca="1">IF(M49&gt;0,N49*100/M49,0)</f>
        <v>80.867406867138143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737200</v>
      </c>
      <c r="M59" s="106">
        <f ca="1">M60+M61</f>
        <v>737200</v>
      </c>
      <c r="N59" s="106">
        <f ca="1">N60+N61</f>
        <v>693059.84</v>
      </c>
      <c r="O59" s="106">
        <f ca="1">IF(L59&gt;0,N59*100/L59,0)</f>
        <v>94.0124579489962</v>
      </c>
      <c r="P59" s="106">
        <f ca="1">IF(M59&gt;0,N59*100/M59,0)</f>
        <v>94.0124579489962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737200</v>
      </c>
      <c r="M61" s="109">
        <f ca="1">M64+M67</f>
        <v>737200</v>
      </c>
      <c r="N61" s="109">
        <f ca="1">N64+N67</f>
        <v>693059.84</v>
      </c>
      <c r="O61" s="109">
        <f ca="1">IF(L61&gt;0,N61*100/L61,0)</f>
        <v>94.0124579489962</v>
      </c>
      <c r="P61" s="109">
        <f ca="1">IF(M61&gt;0,N61*100/M61,0)</f>
        <v>94.0124579489962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737200</v>
      </c>
      <c r="M62" s="47">
        <f ca="1">M63+M64</f>
        <v>737200</v>
      </c>
      <c r="N62" s="47">
        <f ca="1">N63+N64</f>
        <v>693059.84</v>
      </c>
      <c r="O62" s="47">
        <f ca="1">IF(L62&gt;0,N62*100/L62,0)</f>
        <v>94.0124579489962</v>
      </c>
      <c r="P62" s="47">
        <f ca="1">IF(M62&gt;0,N62*100/M62,0)</f>
        <v>94.0124579489962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IFERROR(__xludf.DUMMYFUNCTION("IMPORTRANGE(""https://docs.google.com/spreadsheets/d/1-uDff_7J0KD5mKrp0Vvzr7lt3OU09vwQwhkpOPPYv2Y/edit?usp=sharing"",""งบพรบ!AC77"")"),737200)</f>
        <v>737200</v>
      </c>
      <c r="M64" s="47">
        <f ca="1">IFERROR(__xludf.DUMMYFUNCTION("IMPORTRANGE(""https://docs.google.com/spreadsheets/d/1-uDff_7J0KD5mKrp0Vvzr7lt3OU09vwQwhkpOPPYv2Y/edit?usp=sharing"",""งบพรบ!AH77"")"),737200)</f>
        <v>737200</v>
      </c>
      <c r="N64" s="47">
        <f ca="1">IFERROR(__xludf.DUMMYFUNCTION("IMPORTRANGE(""https://docs.google.com/spreadsheets/d/1-uDff_7J0KD5mKrp0Vvzr7lt3OU09vwQwhkpOPPYv2Y/edit?usp=sharing"",""งบพรบ!AJ77"")"),693059.84)</f>
        <v>693059.84</v>
      </c>
      <c r="O64" s="47">
        <f ca="1">IF(L64&gt;0,N64*100/L64,0)</f>
        <v>94.0124579489962</v>
      </c>
      <c r="P64" s="47">
        <f ca="1">IF(M64&gt;0,N64*100/M64,0)</f>
        <v>94.0124579489962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IFERROR(__xludf.DUMMYFUNCTION("IMPORTRANGE(""https://docs.google.com/spreadsheets/d/1eHaY18a8A9IcSdp1K8H6x8fbOy06t2VsZHhMHf-1x7Y/edit?usp=sharing"",""แผน!N77"")"),0)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IFERROR(__xludf.DUMMYFUNCTION("IMPORTRANGE(""https://docs.google.com/spreadsheets/d/1eHaY18a8A9IcSdp1K8H6x8fbOy06t2VsZHhMHf-1x7Y/edit?usp=sharing"",""แผน!O77"")"),0)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IFERROR(__xludf.DUMMYFUNCTION("IMPORTRANGE(""https://docs.google.com/spreadsheets/d/1eHaY18a8A9IcSdp1K8H6x8fbOy06t2VsZHhMHf-1x7Y/edit?usp=sharing"",""แผน!R77"")"),0)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104621.69</v>
      </c>
      <c r="T117" s="132">
        <f ca="1">IF(Q117&gt;0,S117*100/Q117,0)</f>
        <v>54.644150214143949</v>
      </c>
      <c r="U117" s="132">
        <f ca="1">IF(R117&gt;0,S117*100/R117,0)</f>
        <v>54.644150214143949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104621.69</v>
      </c>
      <c r="T119" s="47">
        <f ca="1">IF(Q119&gt;0,S119*100/Q119,0)</f>
        <v>54.644150214143949</v>
      </c>
      <c r="U119" s="47">
        <f ca="1">IF(R119&gt;0,S119*100/R119,0)</f>
        <v>54.644150214143949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104621.69</v>
      </c>
      <c r="T120" s="47">
        <f ca="1">IF(Q120&gt;0,S120*100/Q120,0)</f>
        <v>54.644150214143949</v>
      </c>
      <c r="U120" s="47">
        <f ca="1">IF(R120&gt;0,S120*100/R120,0)</f>
        <v>54.644150214143949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IFERROR(__xludf.DUMMYFUNCTION("IMPORTRANGE(""https://docs.google.com/spreadsheets/d/1ItG2mGa2ceCfYo0BwxsXqNm01IGEUdYcSSLTEv9YCik/edit?usp=sharing"",""เบิกจ่ายกองทุน!W77"")"),104621.69)</f>
        <v>104621.69</v>
      </c>
      <c r="T122" s="47">
        <f ca="1">IF(Q122&gt;0,S122*100/Q122,0)</f>
        <v>54.644150214143949</v>
      </c>
      <c r="U122" s="47">
        <f ca="1">IF(R122&gt;0,S122*100/R122,0)</f>
        <v>54.644150214143949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IFERROR(__xludf.DUMMYFUNCTION("IMPORTRANGE(""https://docs.google.com/spreadsheets/d/1eHaY18a8A9IcSdp1K8H6x8fbOy06t2VsZHhMHf-1x7Y/edit?usp=sharing"",""แผน!FF77"")"),15)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IFERROR(__xludf.DUMMYFUNCTION("IMPORTRANGE(""https://docs.google.com/spreadsheets/d/1eHaY18a8A9IcSdp1K8H6x8fbOy06t2VsZHhMHf-1x7Y/edit?usp=sharing"",""แผน!FG77"")"),1)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IFERROR(__xludf.DUMMYFUNCTION("IMPORTRANGE(""https://docs.google.com/spreadsheets/d/1eHaY18a8A9IcSdp1K8H6x8fbOy06t2VsZHhMHf-1x7Y/edit?usp=sharing"",""แผน!FH77"")"),15)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IFERROR(__xludf.DUMMYFUNCTION("IMPORTRANGE(""https://docs.google.com/spreadsheets/d/1eHaY18a8A9IcSdp1K8H6x8fbOy06t2VsZHhMHf-1x7Y/edit?usp=sharing"",""แผน!FI77"")"),1)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1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137700</v>
      </c>
      <c r="M139" s="132">
        <f ca="1">M140+M141</f>
        <v>132700</v>
      </c>
      <c r="N139" s="132">
        <f ca="1">N140+N141</f>
        <v>116260.49</v>
      </c>
      <c r="O139" s="132">
        <f ca="1">IF(L139&gt;0,N139*100/L139,0)</f>
        <v>84.430275962236749</v>
      </c>
      <c r="P139" s="132">
        <f ca="1">IF(M139&gt;0,N139*100/M139,0)</f>
        <v>87.611522230595327</v>
      </c>
      <c r="Q139" s="132">
        <f ca="1">Q140+Q141</f>
        <v>174860</v>
      </c>
      <c r="R139" s="132">
        <f ca="1">R140+R141</f>
        <v>174860</v>
      </c>
      <c r="S139" s="132">
        <f ca="1">S140+S141</f>
        <v>12400</v>
      </c>
      <c r="T139" s="132">
        <f ca="1">IF(Q139&gt;0,S139*100/Q139,0)</f>
        <v>7.0913873956307905</v>
      </c>
      <c r="U139" s="132">
        <f ca="1">IF(R139&gt;0,S139*100/R139,0)</f>
        <v>7.0913873956307905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137700</v>
      </c>
      <c r="M141" s="47">
        <f ca="1">M144+M147</f>
        <v>132700</v>
      </c>
      <c r="N141" s="47">
        <f ca="1">N144+N147</f>
        <v>116260.49</v>
      </c>
      <c r="O141" s="47">
        <f ca="1">IF(L141&gt;0,N141*100/L141,0)</f>
        <v>84.430275962236749</v>
      </c>
      <c r="P141" s="47">
        <f ca="1">IF(M141&gt;0,N141*100/M141,0)</f>
        <v>87.611522230595327</v>
      </c>
      <c r="Q141" s="47">
        <f ca="1">Q144+Q147</f>
        <v>174860</v>
      </c>
      <c r="R141" s="47">
        <f ca="1">R144+R147</f>
        <v>174860</v>
      </c>
      <c r="S141" s="47">
        <f ca="1">S144+S147</f>
        <v>12400</v>
      </c>
      <c r="T141" s="47">
        <f ca="1">IF(Q141&gt;0,S141*100/Q141,0)</f>
        <v>7.0913873956307905</v>
      </c>
      <c r="U141" s="47">
        <f ca="1">IF(R141&gt;0,S141*100/R141,0)</f>
        <v>7.0913873956307905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137700</v>
      </c>
      <c r="M142" s="47">
        <f ca="1">M143+M144</f>
        <v>132700</v>
      </c>
      <c r="N142" s="47">
        <f ca="1">N143+N144</f>
        <v>116260.49</v>
      </c>
      <c r="O142" s="47">
        <f ca="1">IF(L142&gt;0,N142*100/L142,0)</f>
        <v>84.430275962236749</v>
      </c>
      <c r="P142" s="47">
        <f ca="1">IF(M142&gt;0,N142*100/M142,0)</f>
        <v>87.611522230595327</v>
      </c>
      <c r="Q142" s="47">
        <f ca="1">Q143+Q144</f>
        <v>44860</v>
      </c>
      <c r="R142" s="47">
        <f ca="1">R143+R144</f>
        <v>44860</v>
      </c>
      <c r="S142" s="47">
        <f ca="1">S143+S144</f>
        <v>12400</v>
      </c>
      <c r="T142" s="47">
        <f ca="1">IF(Q142&gt;0,S142*100/Q142,0)</f>
        <v>27.641551493535445</v>
      </c>
      <c r="U142" s="47">
        <f ca="1">IF(R142&gt;0,S142*100/R142,0)</f>
        <v>27.641551493535445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IFERROR(__xludf.DUMMYFUNCTION("IMPORTRANGE(""https://docs.google.com/spreadsheets/d/1-uDff_7J0KD5mKrp0Vvzr7lt3OU09vwQwhkpOPPYv2Y/edit?usp=sharing"",""งบพรบ!BX77"")"),116260.49)</f>
        <v>116260.49</v>
      </c>
      <c r="O144" s="47">
        <f ca="1">IF(L144&gt;0,N144*100/L144,0)</f>
        <v>84.430275962236749</v>
      </c>
      <c r="P144" s="47">
        <f ca="1">IF(M144&gt;0,N144*100/M144,0)</f>
        <v>87.611522230595327</v>
      </c>
      <c r="Q144" s="47">
        <f ca="1">IFERROR(__xludf.DUMMYFUNCTION("IMPORTRANGE(""https://docs.google.com/spreadsheets/d/1ItG2mGa2ceCfYo0BwxsXqNm01IGEUdYcSSLTEv9YCik/edit?usp=sharing"",""เบิกจ่ายกองทุน!CF77"")"),44860)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IFERROR(__xludf.DUMMYFUNCTION("IMPORTRANGE(""https://docs.google.com/spreadsheets/d/1ItG2mGa2ceCfYo0BwxsXqNm01IGEUdYcSSLTEv9YCik/edit?usp=sharing"",""เบิกจ่ายกองทุน!CG77"")"),44860)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IFERROR(__xludf.DUMMYFUNCTION("IMPORTRANGE(""https://docs.google.com/spreadsheets/d/1ItG2mGa2ceCfYo0BwxsXqNm01IGEUdYcSSLTEv9YCik/edit?usp=sharing"",""เบิกจ่ายกองทุน!CH77"")"),12400)</f>
        <v>12400</v>
      </c>
      <c r="T144" s="47">
        <f ca="1">IF(Q144&gt;0,S144*100/Q144,0)</f>
        <v>27.641551493535445</v>
      </c>
      <c r="U144" s="47">
        <f ca="1">IF(R144&gt;0,S144*100/R144,0)</f>
        <v>27.641551493535445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130000</v>
      </c>
      <c r="R145" s="47">
        <f ca="1">R146+R147</f>
        <v>130000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IFERROR(__xludf.DUMMYFUNCTION("IMPORTRANGE(""https://docs.google.com/spreadsheets/d/1ItG2mGa2ceCfYo0BwxsXqNm01IGEUdYcSSLTEv9YCik/edit?usp=sharing"",""เบิกจ่ายกองทุน!CI77"")"),130000)</f>
        <v>130000</v>
      </c>
      <c r="R147" s="47">
        <f ca="1">IFERROR(__xludf.DUMMYFUNCTION("IMPORTRANGE(""https://docs.google.com/spreadsheets/d/1ItG2mGa2ceCfYo0BwxsXqNm01IGEUdYcSSLTEv9YCik/edit?usp=sharing"",""เบิกจ่ายกองทุน!CJ77"")"),130000)</f>
        <v>130000</v>
      </c>
      <c r="S147" s="47">
        <f ca="1">IFERROR(__xludf.DUMMYFUNCTION("IMPORTRANGE(""https://docs.google.com/spreadsheets/d/1ItG2mGa2ceCfYo0BwxsXqNm01IGEUdYcSSLTEv9YCik/edit?usp=sharing"",""เบิกจ่ายกองทุน!CK77"")"),0)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IFERROR(__xludf.DUMMYFUNCTION("IMPORTRANGE(""https://docs.google.com/spreadsheets/d/1eHaY18a8A9IcSdp1K8H6x8fbOy06t2VsZHhMHf-1x7Y/edit?usp=sharing"",""แผน!U77"")"),10)</f>
        <v>10</v>
      </c>
      <c r="J150" s="167">
        <v>10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IFERROR(__xludf.DUMMYFUNCTION("IMPORTRANGE(""https://docs.google.com/spreadsheets/d/1eHaY18a8A9IcSdp1K8H6x8fbOy06t2VsZHhMHf-1x7Y/edit?usp=sharing"",""แผน!V77"")"),1)</f>
        <v>1</v>
      </c>
      <c r="J151" s="167">
        <v>1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IFERROR(__xludf.DUMMYFUNCTION("IMPORTRANGE(""https://docs.google.com/spreadsheets/d/1eHaY18a8A9IcSdp1K8H6x8fbOy06t2VsZHhMHf-1x7Y/edit?usp=sharing"",""แผน!W77"")"),20)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IFERROR(__xludf.DUMMYFUNCTION("IMPORTRANGE(""https://docs.google.com/spreadsheets/d/1eHaY18a8A9IcSdp1K8H6x8fbOy06t2VsZHhMHf-1x7Y/edit?usp=sharing"",""แผน!X77"")"),2)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IFERROR(__xludf.DUMMYFUNCTION("IMPORTRANGE(""https://docs.google.com/spreadsheets/d/1eHaY18a8A9IcSdp1K8H6x8fbOy06t2VsZHhMHf-1x7Y/edit?usp=sharing"",""แผน!Y77"")"),1)</f>
        <v>1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IFERROR(__xludf.DUMMYFUNCTION("IMPORTRANGE(""https://docs.google.com/spreadsheets/d/1eHaY18a8A9IcSdp1K8H6x8fbOy06t2VsZHhMHf-1x7Y/edit?usp=sharing"",""แผน!Z77"")"),0)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IFERROR(__xludf.DUMMYFUNCTION("IMPORTRANGE(""https://docs.google.com/spreadsheets/d/1eHaY18a8A9IcSdp1K8H6x8fbOy06t2VsZHhMHf-1x7Y/edit?usp=sharing"",""แผน!Z77"")"),0)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36840</v>
      </c>
      <c r="N173" s="132">
        <f ca="1">N174+N175</f>
        <v>36840</v>
      </c>
      <c r="O173" s="132">
        <f ca="1">IF(L173&gt;0,N173*100/L173,0)</f>
        <v>188.0551301684533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36840</v>
      </c>
      <c r="N175" s="47">
        <f ca="1">N178+N181</f>
        <v>36840</v>
      </c>
      <c r="O175" s="47">
        <f ca="1">IF(L175&gt;0,N175*100/L175,0)</f>
        <v>188.0551301684533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36840</v>
      </c>
      <c r="N176" s="47">
        <f ca="1">N177+N178</f>
        <v>36840</v>
      </c>
      <c r="O176" s="47">
        <f ca="1">IF(L176&gt;0,N176*100/L176,0)</f>
        <v>188.0551301684533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ca="1">IF(L178&gt;0,N178*100/L178,0)</f>
        <v>188.0551301684533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15500</v>
      </c>
      <c r="M186" s="132">
        <f ca="1">M187+M188</f>
        <v>26200</v>
      </c>
      <c r="N186" s="132">
        <f ca="1">N187+N188</f>
        <v>10700</v>
      </c>
      <c r="O186" s="132">
        <f ca="1">IF(L186&gt;0,N186*100/L186,0)</f>
        <v>69.032258064516128</v>
      </c>
      <c r="P186" s="132">
        <f ca="1">IF(M186&gt;0,N186*100/M186,0)</f>
        <v>40.839694656488547</v>
      </c>
      <c r="Q186" s="132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15500</v>
      </c>
      <c r="M188" s="47">
        <f ca="1">M191+M194</f>
        <v>26200</v>
      </c>
      <c r="N188" s="47">
        <f ca="1">N191+N194</f>
        <v>10700</v>
      </c>
      <c r="O188" s="47">
        <f ca="1">IF(L188&gt;0,N188*100/L188,0)</f>
        <v>69.032258064516128</v>
      </c>
      <c r="P188" s="47">
        <f ca="1">IF(M188&gt;0,N188*100/M188,0)</f>
        <v>40.839694656488547</v>
      </c>
      <c r="Q188" s="47">
        <f ca="1">Q191+Q194</f>
        <v>14000</v>
      </c>
      <c r="R188" s="47">
        <f ca="1">R191+R194</f>
        <v>14000</v>
      </c>
      <c r="S188" s="47">
        <f ca="1">S191+S194</f>
        <v>14000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15500</v>
      </c>
      <c r="M189" s="47">
        <f ca="1">M190+M191</f>
        <v>26200</v>
      </c>
      <c r="N189" s="47">
        <f ca="1">N190+N191</f>
        <v>10700</v>
      </c>
      <c r="O189" s="47">
        <f ca="1">IF(L189&gt;0,N189*100/L189,0)</f>
        <v>69.032258064516128</v>
      </c>
      <c r="P189" s="47">
        <f ca="1">IF(M189&gt;0,N189*100/M189,0)</f>
        <v>40.839694656488547</v>
      </c>
      <c r="Q189" s="47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IFERROR(__xludf.DUMMYFUNCTION("IMPORTRANGE(""https://docs.google.com/spreadsheets/d/1-uDff_7J0KD5mKrp0Vvzr7lt3OU09vwQwhkpOPPYv2Y/edit?usp=sharing"",""งบพรบ!CU77"")"),15500)</f>
        <v>15500</v>
      </c>
      <c r="M191" s="47">
        <f ca="1">IFERROR(__xludf.DUMMYFUNCTION("IMPORTRANGE(""https://docs.google.com/spreadsheets/d/1-uDff_7J0KD5mKrp0Vvzr7lt3OU09vwQwhkpOPPYv2Y/edit?usp=sharing"",""งบพรบ!CZ77"")"),26200)</f>
        <v>26200</v>
      </c>
      <c r="N191" s="47">
        <f ca="1">IFERROR(__xludf.DUMMYFUNCTION("IMPORTRANGE(""https://docs.google.com/spreadsheets/d/1-uDff_7J0KD5mKrp0Vvzr7lt3OU09vwQwhkpOPPYv2Y/edit?usp=sharing"",""งบพรบ!DB77"")"),10700)</f>
        <v>10700</v>
      </c>
      <c r="O191" s="47">
        <f ca="1">IF(L191&gt;0,N191*100/L191,0)</f>
        <v>69.032258064516128</v>
      </c>
      <c r="P191" s="47">
        <f ca="1">IF(M191&gt;0,N191*100/M191,0)</f>
        <v>40.839694656488547</v>
      </c>
      <c r="Q191" s="47">
        <f ca="1">IFERROR(__xludf.DUMMYFUNCTION("IMPORTRANGE(""https://docs.google.com/spreadsheets/d/1ItG2mGa2ceCfYo0BwxsXqNm01IGEUdYcSSLTEv9YCik/edit?usp=sharing"",""เบิกจ่ายกองทุน!BQ77"")"),14000)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IFERROR(__xludf.DUMMYFUNCTION("IMPORTRANGE(""https://docs.google.com/spreadsheets/d/1ItG2mGa2ceCfYo0BwxsXqNm01IGEUdYcSSLTEv9YCik/edit?usp=sharing"",""เบิกจ่ายกองทุน!BS77"")"),14000)</f>
        <v>14000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769">
        <v>1440</v>
      </c>
      <c r="O196" s="132">
        <f ca="1">IF(L196&gt;0,N196*100/L196,0)</f>
        <v>24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IFERROR(__xludf.DUMMYFUNCTION("IMPORTRANGE(""https://docs.google.com/spreadsheets/d/1eHaY18a8A9IcSdp1K8H6x8fbOy06t2VsZHhMHf-1x7Y/edit?usp=sharing"",""แผน!AE77"")"),4)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108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108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5000</v>
      </c>
      <c r="M203" s="46"/>
      <c r="N203" s="132">
        <f>N204+N205+N206+N207</f>
        <v>4000</v>
      </c>
      <c r="O203" s="132">
        <f ca="1">IF(L203&gt;0,N203*100/L203,0)</f>
        <v>80</v>
      </c>
      <c r="P203" s="132">
        <f>IF(M203&gt;0,N203*100/M203,0)</f>
        <v>0</v>
      </c>
      <c r="Q203" s="768">
        <f ca="1">Q204+Q205+Q206+Q207</f>
        <v>14000</v>
      </c>
      <c r="R203" s="177"/>
      <c r="S203" s="767">
        <f>S204+S205+S206+S207</f>
        <v>14000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IFERROR(__xludf.DUMMYFUNCTION("IMPORTRANGE(""https://docs.google.com/spreadsheets/d/1eHaY18a8A9IcSdp1K8H6x8fbOy06t2VsZHhMHf-1x7Y/edit?usp=sharing"",""แผน!AH77"")"),0)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IFERROR(__xludf.DUMMYFUNCTION("IMPORTRANGE(""https://docs.google.com/spreadsheets/d/1eHaY18a8A9IcSdp1K8H6x8fbOy06t2VsZHhMHf-1x7Y/edit?usp=sharing"",""แผน!AI77"")"),0)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743"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IFERROR(__xludf.DUMMYFUNCTION("IMPORTRANGE(""https://docs.google.com/spreadsheets/d/1eHaY18a8A9IcSdp1K8H6x8fbOy06t2VsZHhMHf-1x7Y/edit?usp=sharing"",""แผน!AK77"")"),1)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IFERROR(__xludf.DUMMYFUNCTION("IMPORTRANGE(""https://docs.google.com/spreadsheets/d/1eHaY18a8A9IcSdp1K8H6x8fbOy06t2VsZHhMHf-1x7Y/edit?usp=sharing"",""แผน!JX77"")"),1)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IFERROR(__xludf.DUMMYFUNCTION("IMPORTRANGE(""https://docs.google.com/spreadsheets/d/1eHaY18a8A9IcSdp1K8H6x8fbOy06t2VsZHhMHf-1x7Y/edit?usp=sharing"",""แผน!AM77"")"),0)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IFERROR(__xludf.DUMMYFUNCTION("IMPORTRANGE(""https://docs.google.com/spreadsheets/d/1eHaY18a8A9IcSdp1K8H6x8fbOy06t2VsZHhMHf-1x7Y/edit?usp=sharing"",""แผน!AN77"")"),0)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IFERROR(__xludf.DUMMYFUNCTION("IMPORTRANGE(""https://docs.google.com/spreadsheets/d/1eHaY18a8A9IcSdp1K8H6x8fbOy06t2VsZHhMHf-1x7Y/edit?usp=sharing"",""แผน!AO77"")"),0)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IFERROR(__xludf.DUMMYFUNCTION("IMPORTRANGE(""https://docs.google.com/spreadsheets/d/1eHaY18a8A9IcSdp1K8H6x8fbOy06t2VsZHhMHf-1x7Y/edit?usp=sharing"",""แผน!LY77"")"),0)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IFERROR(__xludf.DUMMYFUNCTION("IMPORTRANGE(""https://docs.google.com/spreadsheets/d/1eHaY18a8A9IcSdp1K8H6x8fbOy06t2VsZHhMHf-1x7Y/edit?usp=sharing"",""แผน!AR77"")"),2500)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IFERROR(__xludf.DUMMYFUNCTION("IMPORTRANGE(""https://docs.google.com/spreadsheets/d/1eHaY18a8A9IcSdp1K8H6x8fbOy06t2VsZHhMHf-1x7Y/edit?usp=sharing"",""แผน!AS77"")"),2000)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IFERROR(__xludf.DUMMYFUNCTION("IMPORTRANGE(""https://docs.google.com/spreadsheets/d/1eHaY18a8A9IcSdp1K8H6x8fbOy06t2VsZHhMHf-1x7Y/edit?usp=sharing"",""แผน!AT77"")"),0)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IFERROR(__xludf.DUMMYFUNCTION("IMPORTRANGE(""https://docs.google.com/spreadsheets/d/1eHaY18a8A9IcSdp1K8H6x8fbOy06t2VsZHhMHf-1x7Y/edit?usp=sharing"",""แผน!AV77"")"),10000)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765"/>
      <c r="B242" s="764"/>
      <c r="C242" s="749" t="s">
        <v>111</v>
      </c>
      <c r="D242" s="763"/>
      <c r="E242" s="763"/>
      <c r="F242" s="763"/>
      <c r="G242" s="762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623"/>
      <c r="B243" s="622"/>
      <c r="C243" s="745" t="s">
        <v>18</v>
      </c>
      <c r="D243" s="560" t="s">
        <v>19</v>
      </c>
      <c r="E243" s="622"/>
      <c r="F243" s="622"/>
      <c r="G243" s="621"/>
      <c r="H243" s="490" t="s">
        <v>14</v>
      </c>
      <c r="I243" s="620"/>
      <c r="J243" s="620"/>
      <c r="K243" s="619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623"/>
      <c r="B244" s="756"/>
      <c r="C244" s="622"/>
      <c r="D244" s="157" t="s">
        <v>86</v>
      </c>
      <c r="E244" s="622"/>
      <c r="F244" s="622"/>
      <c r="G244" s="621"/>
      <c r="H244" s="160" t="s">
        <v>14</v>
      </c>
      <c r="I244" s="620"/>
      <c r="J244" s="620"/>
      <c r="K244" s="619"/>
      <c r="L244" s="548">
        <f ca="1">IFERROR(__xludf.DUMMYFUNCTION("IMPORTRANGE(""https://docs.google.com/spreadsheets/d/1eHaY18a8A9IcSdp1K8H6x8fbOy06t2VsZHhMHf-1x7Y/edit?usp=sharing"",""แผน!AX77"")"),0)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757"/>
      <c r="B245" s="756"/>
      <c r="C245" s="756"/>
      <c r="D245" s="157" t="s">
        <v>88</v>
      </c>
      <c r="E245" s="622"/>
      <c r="F245" s="622"/>
      <c r="G245" s="621"/>
      <c r="H245" s="160" t="s">
        <v>14</v>
      </c>
      <c r="I245" s="626"/>
      <c r="J245" s="626"/>
      <c r="K245" s="625"/>
      <c r="L245" s="548">
        <f ca="1">IFERROR(__xludf.DUMMYFUNCTION("IMPORTRANGE(""https://docs.google.com/spreadsheets/d/1eHaY18a8A9IcSdp1K8H6x8fbOy06t2VsZHhMHf-1x7Y/edit?usp=sharing"",""แผน!AY77"")"),0)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757"/>
      <c r="B246" s="756"/>
      <c r="C246" s="756"/>
      <c r="D246" s="157" t="s">
        <v>106</v>
      </c>
      <c r="E246" s="622"/>
      <c r="F246" s="622"/>
      <c r="G246" s="621"/>
      <c r="H246" s="160" t="s">
        <v>14</v>
      </c>
      <c r="I246" s="626"/>
      <c r="J246" s="626"/>
      <c r="K246" s="625"/>
      <c r="L246" s="548">
        <f ca="1">IFERROR(__xludf.DUMMYFUNCTION("IMPORTRANGE(""https://docs.google.com/spreadsheets/d/1eHaY18a8A9IcSdp1K8H6x8fbOy06t2VsZHhMHf-1x7Y/edit?usp=sharing"",""แผน!AZ77"")"),0)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757"/>
      <c r="B247" s="756"/>
      <c r="C247" s="756"/>
      <c r="D247" s="157" t="s">
        <v>107</v>
      </c>
      <c r="E247" s="622"/>
      <c r="F247" s="622"/>
      <c r="G247" s="621"/>
      <c r="H247" s="160" t="s">
        <v>14</v>
      </c>
      <c r="I247" s="626"/>
      <c r="J247" s="626"/>
      <c r="K247" s="625"/>
      <c r="L247" s="548">
        <f ca="1">IFERROR(__xludf.DUMMYFUNCTION("IMPORTRANGE(""https://docs.google.com/spreadsheets/d/1eHaY18a8A9IcSdp1K8H6x8fbOy06t2VsZHhMHf-1x7Y/edit?usp=sharing"",""แผน!BA77"")"),0)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753"/>
      <c r="B248" s="752"/>
      <c r="C248" s="742" t="s">
        <v>18</v>
      </c>
      <c r="D248" s="582" t="s">
        <v>38</v>
      </c>
      <c r="E248" s="755"/>
      <c r="F248" s="755"/>
      <c r="G248" s="754"/>
      <c r="H248" s="750"/>
      <c r="I248" s="620"/>
      <c r="J248" s="626"/>
      <c r="K248" s="625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753"/>
      <c r="B249" s="752"/>
      <c r="C249" s="752"/>
      <c r="D249" s="190" t="s">
        <v>108</v>
      </c>
      <c r="E249" s="751"/>
      <c r="F249" s="751"/>
      <c r="G249" s="750"/>
      <c r="H249" s="739" t="s">
        <v>35</v>
      </c>
      <c r="I249" s="495">
        <f ca="1">IFERROR(__xludf.DUMMYFUNCTION("IMPORTRANGE(""https://docs.google.com/spreadsheets/d/1eHaY18a8A9IcSdp1K8H6x8fbOy06t2VsZHhMHf-1x7Y/edit?usp=sharing"",""แผน!BG77"")"),0)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753"/>
      <c r="B250" s="752"/>
      <c r="C250" s="752"/>
      <c r="D250" s="741" t="s">
        <v>43</v>
      </c>
      <c r="E250" s="751"/>
      <c r="F250" s="751"/>
      <c r="G250" s="750"/>
      <c r="H250" s="750"/>
      <c r="I250" s="626"/>
      <c r="J250" s="626"/>
      <c r="K250" s="625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753"/>
      <c r="B251" s="752"/>
      <c r="C251" s="752"/>
      <c r="D251" s="752"/>
      <c r="E251" s="740" t="s">
        <v>109</v>
      </c>
      <c r="F251" s="751"/>
      <c r="G251" s="750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753"/>
      <c r="B252" s="752"/>
      <c r="C252" s="752"/>
      <c r="D252" s="752"/>
      <c r="E252" s="740" t="s">
        <v>110</v>
      </c>
      <c r="F252" s="751"/>
      <c r="G252" s="750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765"/>
      <c r="B253" s="764"/>
      <c r="C253" s="749" t="s">
        <v>112</v>
      </c>
      <c r="D253" s="763"/>
      <c r="E253" s="763"/>
      <c r="F253" s="763"/>
      <c r="G253" s="762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623"/>
      <c r="B254" s="622"/>
      <c r="C254" s="745" t="s">
        <v>18</v>
      </c>
      <c r="D254" s="744" t="s">
        <v>19</v>
      </c>
      <c r="E254" s="622"/>
      <c r="F254" s="622"/>
      <c r="G254" s="621"/>
      <c r="H254" s="490" t="s">
        <v>14</v>
      </c>
      <c r="I254" s="620"/>
      <c r="J254" s="620"/>
      <c r="K254" s="619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623"/>
      <c r="B255" s="756"/>
      <c r="C255" s="622"/>
      <c r="D255" s="157" t="s">
        <v>86</v>
      </c>
      <c r="E255" s="622"/>
      <c r="F255" s="622"/>
      <c r="G255" s="621"/>
      <c r="H255" s="160" t="s">
        <v>14</v>
      </c>
      <c r="I255" s="620"/>
      <c r="J255" s="620"/>
      <c r="K255" s="619"/>
      <c r="L255" s="548">
        <f ca="1">IFERROR(__xludf.DUMMYFUNCTION("IMPORTRANGE(""https://docs.google.com/spreadsheets/d/1eHaY18a8A9IcSdp1K8H6x8fbOy06t2VsZHhMHf-1x7Y/edit?usp=sharing"",""แผน!BB77"")"),0)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757"/>
      <c r="B256" s="756"/>
      <c r="C256" s="756"/>
      <c r="D256" s="157" t="s">
        <v>88</v>
      </c>
      <c r="E256" s="622"/>
      <c r="F256" s="622"/>
      <c r="G256" s="621"/>
      <c r="H256" s="160" t="s">
        <v>14</v>
      </c>
      <c r="I256" s="626"/>
      <c r="J256" s="626"/>
      <c r="K256" s="625"/>
      <c r="L256" s="548">
        <f ca="1">IFERROR(__xludf.DUMMYFUNCTION("IMPORTRANGE(""https://docs.google.com/spreadsheets/d/1eHaY18a8A9IcSdp1K8H6x8fbOy06t2VsZHhMHf-1x7Y/edit?usp=sharing"",""แผน!BC77"")"),0)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757"/>
      <c r="B257" s="756"/>
      <c r="C257" s="756"/>
      <c r="D257" s="157" t="s">
        <v>106</v>
      </c>
      <c r="E257" s="622"/>
      <c r="F257" s="622"/>
      <c r="G257" s="621"/>
      <c r="H257" s="160" t="s">
        <v>14</v>
      </c>
      <c r="I257" s="626"/>
      <c r="J257" s="626"/>
      <c r="K257" s="625"/>
      <c r="L257" s="548">
        <f ca="1">IFERROR(__xludf.DUMMYFUNCTION("IMPORTRANGE(""https://docs.google.com/spreadsheets/d/1eHaY18a8A9IcSdp1K8H6x8fbOy06t2VsZHhMHf-1x7Y/edit?usp=sharing"",""แผน!BD77"")"),0)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757"/>
      <c r="B258" s="756"/>
      <c r="C258" s="756"/>
      <c r="D258" s="157" t="s">
        <v>107</v>
      </c>
      <c r="E258" s="622"/>
      <c r="F258" s="622"/>
      <c r="G258" s="621"/>
      <c r="H258" s="160" t="s">
        <v>14</v>
      </c>
      <c r="I258" s="626"/>
      <c r="J258" s="626"/>
      <c r="K258" s="625"/>
      <c r="L258" s="548">
        <f ca="1">IFERROR(__xludf.DUMMYFUNCTION("IMPORTRANGE(""https://docs.google.com/spreadsheets/d/1eHaY18a8A9IcSdp1K8H6x8fbOy06t2VsZHhMHf-1x7Y/edit?usp=sharing"",""แผน!BE77"")"),0)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753"/>
      <c r="B259" s="752"/>
      <c r="C259" s="742" t="s">
        <v>18</v>
      </c>
      <c r="D259" s="582" t="s">
        <v>38</v>
      </c>
      <c r="E259" s="755"/>
      <c r="F259" s="755"/>
      <c r="G259" s="754"/>
      <c r="H259" s="750"/>
      <c r="I259" s="620"/>
      <c r="J259" s="626"/>
      <c r="K259" s="625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753"/>
      <c r="B260" s="752"/>
      <c r="C260" s="752"/>
      <c r="D260" s="190" t="s">
        <v>108</v>
      </c>
      <c r="E260" s="751"/>
      <c r="F260" s="751"/>
      <c r="G260" s="750"/>
      <c r="H260" s="739" t="s">
        <v>35</v>
      </c>
      <c r="I260" s="495">
        <f ca="1">IFERROR(__xludf.DUMMYFUNCTION("IMPORTRANGE(""https://docs.google.com/spreadsheets/d/1eHaY18a8A9IcSdp1K8H6x8fbOy06t2VsZHhMHf-1x7Y/edit?usp=sharing"",""แผน!BH77"")"),0)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753"/>
      <c r="B261" s="752"/>
      <c r="C261" s="752"/>
      <c r="D261" s="741" t="s">
        <v>43</v>
      </c>
      <c r="E261" s="751"/>
      <c r="F261" s="751"/>
      <c r="G261" s="750"/>
      <c r="H261" s="750"/>
      <c r="I261" s="626"/>
      <c r="J261" s="626"/>
      <c r="K261" s="625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753"/>
      <c r="B262" s="752"/>
      <c r="C262" s="752"/>
      <c r="D262" s="752"/>
      <c r="E262" s="740" t="s">
        <v>109</v>
      </c>
      <c r="F262" s="751"/>
      <c r="G262" s="750"/>
      <c r="H262" s="739" t="s">
        <v>35</v>
      </c>
      <c r="I262" s="626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753"/>
      <c r="B263" s="752"/>
      <c r="C263" s="752"/>
      <c r="D263" s="752"/>
      <c r="E263" s="740" t="s">
        <v>110</v>
      </c>
      <c r="F263" s="751"/>
      <c r="G263" s="750"/>
      <c r="H263" s="739" t="s">
        <v>61</v>
      </c>
      <c r="I263" s="626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37760</v>
      </c>
      <c r="T266" s="421">
        <f ca="1">IF(Q266&gt;0,S266*100/Q266,0)</f>
        <v>74.53612317410186</v>
      </c>
      <c r="U266" s="421">
        <f ca="1">IF(R266&gt;0,S266*100/R266,0)</f>
        <v>74.53612317410186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37760</v>
      </c>
      <c r="T268" s="331">
        <f ca="1">IF(Q268&gt;0,S268*100/Q268,0)</f>
        <v>74.53612317410186</v>
      </c>
      <c r="U268" s="331">
        <f ca="1">IF(R268&gt;0,S268*100/R268,0)</f>
        <v>74.53612317410186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37760</v>
      </c>
      <c r="T269" s="331">
        <f ca="1">IF(Q269&gt;0,S269*100/Q269,0)</f>
        <v>74.53612317410186</v>
      </c>
      <c r="U269" s="331">
        <f ca="1">IF(R269&gt;0,S269*100/R269,0)</f>
        <v>74.53612317410186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IFERROR(__xludf.DUMMYFUNCTION("IMPORTRANGE(""https://docs.google.com/spreadsheets/d/1-uDff_7J0KD5mKrp0Vvzr7lt3OU09vwQwhkpOPPYv2Y/edit?usp=sharing"",""งบพรบ!DE77"")"),5000)</f>
        <v>5000</v>
      </c>
      <c r="M271" s="331">
        <f ca="1">IFERROR(__xludf.DUMMYFUNCTION("IMPORTRANGE(""https://docs.google.com/spreadsheets/d/1-uDff_7J0KD5mKrp0Vvzr7lt3OU09vwQwhkpOPPYv2Y/edit?usp=sharing"",""งบพรบ!DJ77"")"),5000)</f>
        <v>5000</v>
      </c>
      <c r="N271" s="331">
        <f ca="1">IFERROR(__xludf.DUMMYFUNCTION("IMPORTRANGE(""https://docs.google.com/spreadsheets/d/1-uDff_7J0KD5mKrp0Vvzr7lt3OU09vwQwhkpOPPYv2Y/edit?usp=sharing"",""งบพรบ!DL77"")"),0)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IFERROR(__xludf.DUMMYFUNCTION("IMPORTRANGE(""https://docs.google.com/spreadsheets/d/1ItG2mGa2ceCfYo0BwxsXqNm01IGEUdYcSSLTEv9YCik/edit?usp=sharing"",""เบิกจ่ายกองทุน!AR77"")"),37760)</f>
        <v>37760</v>
      </c>
      <c r="T271" s="331">
        <f ca="1">IF(Q271&gt;0,S271*100/Q271,0)</f>
        <v>74.53612317410186</v>
      </c>
      <c r="U271" s="331">
        <f ca="1">IF(R271&gt;0,S271*100/R271,0)</f>
        <v>74.53612317410186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IFERROR(__xludf.DUMMYFUNCTION("IMPORTRANGE(""https://docs.google.com/spreadsheets/d/1-uDff_7J0KD5mKrp0Vvzr7lt3OU09vwQwhkpOPPYv2Y/edit?usp=sharing"",""งบพรบ!DH77"")"),0)</f>
        <v>0</v>
      </c>
      <c r="M274" s="331">
        <f ca="1">IFERROR(__xludf.DUMMYFUNCTION("IMPORTRANGE(""https://docs.google.com/spreadsheets/d/1-uDff_7J0KD5mKrp0Vvzr7lt3OU09vwQwhkpOPPYv2Y/edit?usp=sharing"",""งบพรบ!DK77"")"),0)</f>
        <v>0</v>
      </c>
      <c r="N274" s="331">
        <f ca="1">IFERROR(__xludf.DUMMYFUNCTION("IMPORTRANGE(""https://docs.google.com/spreadsheets/d/1-uDff_7J0KD5mKrp0Vvzr7lt3OU09vwQwhkpOPPYv2Y/edit?usp=sharing"",""งบพรบ!DM77"")"),0)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43"/>
      <c r="B277" s="842"/>
      <c r="C277" s="842"/>
      <c r="D277" s="716" t="s">
        <v>116</v>
      </c>
      <c r="E277" s="841"/>
      <c r="F277" s="841"/>
      <c r="G277" s="840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IFERROR(__xludf.DUMMYFUNCTION("IMPORTRANGE(""https://docs.google.com/spreadsheets/d/1eHaY18a8A9IcSdp1K8H6x8fbOy06t2VsZHhMHf-1x7Y/edit?usp=sharing"",""แผน!EE77"")"),0)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IFERROR(__xludf.DUMMYFUNCTION("IMPORTRANGE(""https://docs.google.com/spreadsheets/d/1eHaY18a8A9IcSdp1K8H6x8fbOy06t2VsZHhMHf-1x7Y/edit?usp=sharing"",""แผน!ED77"")"),0)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IFERROR(__xludf.DUMMYFUNCTION("IMPORTRANGE(""https://docs.google.com/spreadsheets/d/1eHaY18a8A9IcSdp1K8H6x8fbOy06t2VsZHhMHf-1x7Y/edit?usp=sharing"",""แผน!ED77"")"),0)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229336.17</v>
      </c>
      <c r="R303" s="132">
        <f ca="1">R304+R305</f>
        <v>229336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229336.17</v>
      </c>
      <c r="R305" s="47">
        <f ca="1">R308+R311</f>
        <v>229336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229336.17</v>
      </c>
      <c r="R306" s="47">
        <f ca="1">R307+R308</f>
        <v>229336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IFERROR(__xludf.DUMMYFUNCTION("IMPORTRANGE(""https://docs.google.com/spreadsheets/d/1ItG2mGa2ceCfYo0BwxsXqNm01IGEUdYcSSLTEv9YCik/edit?usp=sharing"",""เบิกจ่ายกองทุน!BC77"")"),229336)</f>
        <v>229336</v>
      </c>
      <c r="S308" s="47">
        <f ca="1">IFERROR(__xludf.DUMMYFUNCTION("IMPORTRANGE(""https://docs.google.com/spreadsheets/d/1ItG2mGa2ceCfYo0BwxsXqNm01IGEUdYcSSLTEv9YCik/edit?usp=sharing"",""เบิกจ่ายกองทุน!BD77"")"),0)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1140</v>
      </c>
      <c r="J332" s="697">
        <f ca="1">J344+J347+J348+J349+J353</f>
        <v>5163</v>
      </c>
      <c r="K332" s="696">
        <f ca="1">IF(I332&gt;0,J332*100/I332,0)</f>
        <v>452.89473684210526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181000</v>
      </c>
      <c r="M333" s="132">
        <f ca="1">M334+M335</f>
        <v>181000</v>
      </c>
      <c r="N333" s="132">
        <f ca="1">N334+N335</f>
        <v>125798.77</v>
      </c>
      <c r="O333" s="132">
        <f ca="1">IF(L333&gt;0,N333*100/L333,0)</f>
        <v>69.50208287292817</v>
      </c>
      <c r="P333" s="132">
        <f ca="1">IF(M333&gt;0,N333*100/M333,0)</f>
        <v>69.50208287292817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181000</v>
      </c>
      <c r="M335" s="47">
        <f ca="1">M338+M341</f>
        <v>181000</v>
      </c>
      <c r="N335" s="47">
        <f ca="1">N338+N341</f>
        <v>125798.77</v>
      </c>
      <c r="O335" s="47">
        <f ca="1">IF(L335&gt;0,N335*100/L335,0)</f>
        <v>69.50208287292817</v>
      </c>
      <c r="P335" s="47">
        <f ca="1">IF(M335&gt;0,N335*100/M335,0)</f>
        <v>69.50208287292817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181000</v>
      </c>
      <c r="M336" s="47">
        <f ca="1">M337+M338</f>
        <v>181000</v>
      </c>
      <c r="N336" s="47">
        <f ca="1">N337+N338</f>
        <v>125798.77</v>
      </c>
      <c r="O336" s="47">
        <f ca="1">IF(L336&gt;0,N336*100/L336,0)</f>
        <v>69.50208287292817</v>
      </c>
      <c r="P336" s="47">
        <f ca="1">IF(M336&gt;0,N336*100/M336,0)</f>
        <v>69.50208287292817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IFERROR(__xludf.DUMMYFUNCTION("IMPORTRANGE(""https://docs.google.com/spreadsheets/d/1-uDff_7J0KD5mKrp0Vvzr7lt3OU09vwQwhkpOPPYv2Y/edit?usp=sharing"",""งบพรบ!ES77"")"),181000)</f>
        <v>181000</v>
      </c>
      <c r="M338" s="47">
        <f ca="1">IFERROR(__xludf.DUMMYFUNCTION("IMPORTRANGE(""https://docs.google.com/spreadsheets/d/1-uDff_7J0KD5mKrp0Vvzr7lt3OU09vwQwhkpOPPYv2Y/edit?usp=sharing"",""งบพรบ!EX77"")"),181000)</f>
        <v>181000</v>
      </c>
      <c r="N338" s="47">
        <f ca="1">IFERROR(__xludf.DUMMYFUNCTION("IMPORTRANGE(""https://docs.google.com/spreadsheets/d/1-uDff_7J0KD5mKrp0Vvzr7lt3OU09vwQwhkpOPPYv2Y/edit?usp=sharing"",""งบพรบ!EZ77"")"),125798.77)</f>
        <v>125798.77</v>
      </c>
      <c r="O338" s="47">
        <f ca="1">IF(L338&gt;0,N338*100/L338,0)</f>
        <v>69.50208287292817</v>
      </c>
      <c r="P338" s="47">
        <f ca="1">IF(M338&gt;0,N338*100/M338,0)</f>
        <v>69.50208287292817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3810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IFERROR(__xludf.DUMMYFUNCTION("IMPORTRANGE(""https://docs.google.com/spreadsheets/d/1eHaY18a8A9IcSdp1K8H6x8fbOy06t2VsZHhMHf-1x7Y/edit?usp=sharing"",""แผน!EK77"")"),1140)</f>
        <v>1140</v>
      </c>
      <c r="J344" s="152">
        <f ca="1">IFERROR(__xludf.DUMMYFUNCTION("IMPORTRANGE(""https://docs.google.com/spreadsheets/d/1awYsYK3VOup2i3Pq_Yjnu8DRu_mYwSBnCR2QPthd0rU/edit?usp=sharing"",""ศูนย์ยกเว้นโฉนด!D77"")"),3809)</f>
        <v>3809</v>
      </c>
      <c r="K344" s="47">
        <f ca="1">IF(I344&gt;0,J344*100/I344,0)</f>
        <v>334.12280701754383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IFERROR(__xludf.DUMMYFUNCTION("IMPORTRANGE(""https://docs.google.com/spreadsheets/d/1eHaY18a8A9IcSdp1K8H6x8fbOy06t2VsZHhMHf-1x7Y/edit?usp=sharing"",""แผน!EL77"")"),3)</f>
        <v>3</v>
      </c>
      <c r="J346" s="15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6708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IFERROR(__xludf.DUMMYFUNCTION("IMPORTRANGE(""https://docs.google.com/spreadsheets/d/1awYsYK3VOup2i3Pq_Yjnu8DRu_mYwSBnCR2QPthd0rU/edit?usp=sharing"",""โฉนดM3!G77"")"),5355)</f>
        <v>5355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IFERROR(__xludf.DUMMYFUNCTION("IMPORTRANGE(""https://docs.google.com/spreadsheets/d/1awYsYK3VOup2i3Pq_Yjnu8DRu_mYwSBnCR2QPthd0rU/edit?usp=sharing"",""โฉนดM3!H77"")"),1353)</f>
        <v>1353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619060</v>
      </c>
      <c r="M356" s="132">
        <f ca="1">M357+M358</f>
        <v>682060</v>
      </c>
      <c r="N356" s="132">
        <f ca="1">N357+N358</f>
        <v>538102.77</v>
      </c>
      <c r="O356" s="132">
        <f ca="1">IF(L356&gt;0,N356*100/L356,0)</f>
        <v>86.922555164281334</v>
      </c>
      <c r="P356" s="132">
        <f ca="1">IF(M356&gt;0,N356*100/M356,0)</f>
        <v>78.893758613611709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619060</v>
      </c>
      <c r="M358" s="47">
        <f ca="1">M361+M364</f>
        <v>682060</v>
      </c>
      <c r="N358" s="47">
        <f ca="1">N361+N364</f>
        <v>538102.77</v>
      </c>
      <c r="O358" s="47">
        <f ca="1">IF(L358&gt;0,N358*100/L358,0)</f>
        <v>86.922555164281334</v>
      </c>
      <c r="P358" s="47">
        <f ca="1">IF(M358&gt;0,N358*100/M358,0)</f>
        <v>78.893758613611709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619060</v>
      </c>
      <c r="M359" s="47">
        <f ca="1">M360+M361</f>
        <v>682060</v>
      </c>
      <c r="N359" s="47">
        <f ca="1">N360+N361</f>
        <v>538102.77</v>
      </c>
      <c r="O359" s="47">
        <f ca="1">IF(L359&gt;0,N359*100/L359,0)</f>
        <v>86.922555164281334</v>
      </c>
      <c r="P359" s="47">
        <f ca="1">IF(M359&gt;0,N359*100/M359,0)</f>
        <v>78.893758613611709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IFERROR(__xludf.DUMMYFUNCTION("IMPORTRANGE(""https://docs.google.com/spreadsheets/d/1-uDff_7J0KD5mKrp0Vvzr7lt3OU09vwQwhkpOPPYv2Y/edit?usp=sharing"",""งบพรบ!FC77"")"),619060)</f>
        <v>619060</v>
      </c>
      <c r="M361" s="47">
        <f ca="1">IFERROR(__xludf.DUMMYFUNCTION("IMPORTRANGE(""https://docs.google.com/spreadsheets/d/1-uDff_7J0KD5mKrp0Vvzr7lt3OU09vwQwhkpOPPYv2Y/edit?usp=sharing"",""งบพรบ!FH77"")"),682060)</f>
        <v>682060</v>
      </c>
      <c r="N361" s="47">
        <f ca="1">IFERROR(__xludf.DUMMYFUNCTION("IMPORTRANGE(""https://docs.google.com/spreadsheets/d/1-uDff_7J0KD5mKrp0Vvzr7lt3OU09vwQwhkpOPPYv2Y/edit?usp=sharing"",""งบพรบ!FJ77"")"),538102.77)</f>
        <v>538102.77</v>
      </c>
      <c r="O361" s="47">
        <f ca="1">IF(L361&gt;0,N361*100/L361,0)</f>
        <v>86.922555164281334</v>
      </c>
      <c r="P361" s="47">
        <f ca="1">IF(M361&gt;0,N361*100/M361,0)</f>
        <v>78.893758613611709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113</v>
      </c>
      <c r="J365" s="228">
        <f ca="1">J371</f>
        <v>138</v>
      </c>
      <c r="K365" s="229">
        <f ca="1">IF(I365&gt;0,J365*100/I365,0)</f>
        <v>122.12389380530973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IFERROR(__xludf.DUMMYFUNCTION("IMPORTRANGE(""https://docs.google.com/spreadsheets/d/1tdoBKaGub7dwA3U6UFTqxio9LNnvDCQjHKmttSEBsFQ/edit?usp=sharing"",""จัดที่ดิน!AB77"")"),169)</f>
        <v>169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IFERROR(__xludf.DUMMYFUNCTION("IMPORTRANGE(""https://docs.google.com/spreadsheets/d/1eHaY18a8A9IcSdp1K8H6x8fbOy06t2VsZHhMHf-1x7Y/edit?usp=sharing"",""แผน!EW77"")"),640)</f>
        <v>640</v>
      </c>
      <c r="J368" s="685">
        <f ca="1">IFERROR(__xludf.DUMMYFUNCTION("IMPORTRANGE(""https://docs.google.com/spreadsheets/d/1tdoBKaGub7dwA3U6UFTqxio9LNnvDCQjHKmttSEBsFQ/edit?usp=sharing"",""จัดที่ดิน!AC77"")"),1527.78)</f>
        <v>1527.78</v>
      </c>
      <c r="K368" s="47">
        <f ca="1">IF(I368&gt;0,J368*100/I368,0)</f>
        <v>238.71562499999999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IFERROR(__xludf.DUMMYFUNCTION("IMPORTRANGE(""https://docs.google.com/spreadsheets/d/1eHaY18a8A9IcSdp1K8H6x8fbOy06t2VsZHhMHf-1x7Y/edit?usp=sharing"",""แผน!EX77"")"),113)</f>
        <v>113</v>
      </c>
      <c r="J369" s="152">
        <f ca="1">IFERROR(__xludf.DUMMYFUNCTION("IMPORTRANGE(""https://docs.google.com/spreadsheets/d/1tdoBKaGub7dwA3U6UFTqxio9LNnvDCQjHKmttSEBsFQ/edit?usp=sharing"",""จัดที่ดิน!AD77"")"),140)</f>
        <v>140</v>
      </c>
      <c r="K369" s="47">
        <f ca="1">IF(I369&gt;0,J369*100/I369,0)</f>
        <v>123.89380530973452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IFERROR(__xludf.DUMMYFUNCTION("IMPORTRANGE(""https://docs.google.com/spreadsheets/d/1tdoBKaGub7dwA3U6UFTqxio9LNnvDCQjHKmttSEBsFQ/edit?usp=sharing"",""จัดที่ดิน!AE77"")"),1476.03)</f>
        <v>1476.03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IFERROR(__xludf.DUMMYFUNCTION("IMPORTRANGE(""https://docs.google.com/spreadsheets/d/1eHaY18a8A9IcSdp1K8H6x8fbOy06t2VsZHhMHf-1x7Y/edit?usp=sharing"",""แผน!EY77"")"),113)</f>
        <v>113</v>
      </c>
      <c r="J371" s="152">
        <f ca="1">IFERROR(__xludf.DUMMYFUNCTION("IMPORTRANGE(""https://docs.google.com/spreadsheets/d/1tdoBKaGub7dwA3U6UFTqxio9LNnvDCQjHKmttSEBsFQ/edit?usp=sharing"",""จัดที่ดิน!AF77"")"),138)</f>
        <v>138</v>
      </c>
      <c r="K371" s="47">
        <f ca="1">IF(I371&gt;0,J371*100/I371,0)</f>
        <v>122.12389380530973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IFERROR(__xludf.DUMMYFUNCTION("IMPORTRANGE(""https://docs.google.com/spreadsheets/d/1tdoBKaGub7dwA3U6UFTqxio9LNnvDCQjHKmttSEBsFQ/edit?usp=sharing"",""จัดที่ดิน!AG77"")"),1468.25)</f>
        <v>1468.25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465</v>
      </c>
      <c r="K374" s="676">
        <f ca="1">IF(I374&gt;0,J374*100/I374,0)</f>
        <v>46.5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IFERROR(__xludf.DUMMYFUNCTION("IMPORTRANGE(""https://docs.google.com/spreadsheets/d/1-uDff_7J0KD5mKrp0Vvzr7lt3OU09vwQwhkpOPPYv2Y/edit?usp=sharing"",""งบพรบ!IE77"")"),0)</f>
        <v>0</v>
      </c>
      <c r="M380" s="47">
        <f ca="1">IFERROR(__xludf.DUMMYFUNCTION("IMPORTRANGE(""https://docs.google.com/spreadsheets/d/1-uDff_7J0KD5mKrp0Vvzr7lt3OU09vwQwhkpOPPYv2Y/edit?usp=sharing"",""งบพรบ!IJ77"")"),0)</f>
        <v>0</v>
      </c>
      <c r="N380" s="47">
        <f ca="1">IFERROR(__xludf.DUMMYFUNCTION("IMPORTRANGE(""https://docs.google.com/spreadsheets/d/1-uDff_7J0KD5mKrp0Vvzr7lt3OU09vwQwhkpOPPYv2Y/edit?usp=sharing"",""งบพรบ!IL77"")"),0)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IFERROR(__xludf.DUMMYFUNCTION("IMPORTRANGE(""https://docs.google.com/spreadsheets/d/1ItG2mGa2ceCfYo0BwxsXqNm01IGEUdYcSSLTEv9YCik/edit?usp=sharing"",""เบิกจ่ายกองทุน!BX77"")"),62500)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IFERROR(__xludf.DUMMYFUNCTION("IMPORTRANGE(""https://docs.google.com/spreadsheets/d/1-uDff_7J0KD5mKrp0Vvzr7lt3OU09vwQwhkpOPPYv2Y/edit?usp=sharing"",""งบพรบ!IH77"")"),0)</f>
        <v>0</v>
      </c>
      <c r="M383" s="47">
        <f ca="1">IFERROR(__xludf.DUMMYFUNCTION("IMPORTRANGE(""https://docs.google.com/spreadsheets/d/1-uDff_7J0KD5mKrp0Vvzr7lt3OU09vwQwhkpOPPYv2Y/edit?usp=sharing"",""งบพรบ!IK77"")"),0)</f>
        <v>0</v>
      </c>
      <c r="N383" s="47">
        <f ca="1">IFERROR(__xludf.DUMMYFUNCTION("IMPORTRANGE(""https://docs.google.com/spreadsheets/d/1-uDff_7J0KD5mKrp0Vvzr7lt3OU09vwQwhkpOPPYv2Y/edit?usp=sharing"",""งบพรบ!IM77"")"),0)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IFERROR(__xludf.DUMMYFUNCTION("IMPORTRANGE(""https://docs.google.com/spreadsheets/d/1w5rwWK1o49a35cNtocGL0gxDwhFSTZUQu90BiH9_zqM/edit?usp=sharing"",""RTK!H77"")"),28)</f>
        <v>28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IFERROR(__xludf.DUMMYFUNCTION("IMPORTRANGE(""https://docs.google.com/spreadsheets/d/1w5rwWK1o49a35cNtocGL0gxDwhFSTZUQu90BiH9_zqM/edit?usp=sharing"",""RTK!G77"")"),1000)</f>
        <v>1000</v>
      </c>
      <c r="J386" s="152">
        <f ca="1">IFERROR(__xludf.DUMMYFUNCTION("IMPORTRANGE(""https://docs.google.com/spreadsheets/d/1w5rwWK1o49a35cNtocGL0gxDwhFSTZUQu90BiH9_zqM/edit?usp=sharing"",""RTK!I77"")"),465)</f>
        <v>465</v>
      </c>
      <c r="K386" s="47">
        <f ca="1">IF(I386&gt;0,J386*100/I386,0)</f>
        <v>46.5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IFERROR(__xludf.DUMMYFUNCTION("IMPORTRANGE(""https://docs.google.com/spreadsheets/d/1w5rwWK1o49a35cNtocGL0gxDwhFSTZUQu90BiH9_zqM/edit?usp=sharing"",""RTK!K77"")"),0)</f>
        <v>0</v>
      </c>
      <c r="J388" s="330">
        <f ca="1">IFERROR(__xludf.DUMMYFUNCTION("IMPORTRANGE(""https://docs.google.com/spreadsheets/d/1w5rwWK1o49a35cNtocGL0gxDwhFSTZUQu90BiH9_zqM/edit?usp=sharing"",""RTK!M77"")"),0)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26015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403280</v>
      </c>
      <c r="M413" s="132">
        <f ca="1">M414+M415</f>
        <v>403280</v>
      </c>
      <c r="N413" s="132">
        <f ca="1">N414+N415</f>
        <v>67253.45</v>
      </c>
      <c r="O413" s="132">
        <f ca="1">IF(L413&gt;0,N413*100/L413,0)</f>
        <v>16.676614263043046</v>
      </c>
      <c r="P413" s="132">
        <f ca="1">IF(M413&gt;0,N413*100/M413,0)</f>
        <v>16.676614263043046</v>
      </c>
      <c r="Q413" s="132">
        <f ca="1">Q414+Q415</f>
        <v>64430</v>
      </c>
      <c r="R413" s="132">
        <f ca="1">R414+R415</f>
        <v>64430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403280</v>
      </c>
      <c r="M415" s="47">
        <f ca="1">M418+M421</f>
        <v>403280</v>
      </c>
      <c r="N415" s="47">
        <f ca="1">N418+N421</f>
        <v>67253.45</v>
      </c>
      <c r="O415" s="47">
        <f ca="1">IF(L415&gt;0,N415*100/L415,0)</f>
        <v>16.676614263043046</v>
      </c>
      <c r="P415" s="47">
        <f ca="1">IF(M415&gt;0,N415*100/M415,0)</f>
        <v>16.676614263043046</v>
      </c>
      <c r="Q415" s="47">
        <f ca="1">Q418+Q421</f>
        <v>64430</v>
      </c>
      <c r="R415" s="47">
        <f ca="1">R418+R421</f>
        <v>64430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403280</v>
      </c>
      <c r="M416" s="47">
        <f ca="1">M417+M418</f>
        <v>403280</v>
      </c>
      <c r="N416" s="47">
        <f ca="1">N417+N418</f>
        <v>67253.45</v>
      </c>
      <c r="O416" s="47">
        <f ca="1">IF(L416&gt;0,N416*100/L416,0)</f>
        <v>16.676614263043046</v>
      </c>
      <c r="P416" s="47">
        <f ca="1">IF(M416&gt;0,N416*100/M416,0)</f>
        <v>16.676614263043046</v>
      </c>
      <c r="Q416" s="47">
        <f ca="1">Q417+Q418</f>
        <v>64430</v>
      </c>
      <c r="R416" s="47">
        <f ca="1">R417+R418</f>
        <v>64430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IFERROR(__xludf.DUMMYFUNCTION("IMPORTRANGE(""https://docs.google.com/spreadsheets/d/1-uDff_7J0KD5mKrp0Vvzr7lt3OU09vwQwhkpOPPYv2Y/edit?usp=sharing"",""งบพรบ!IO77"")"),403280)</f>
        <v>403280</v>
      </c>
      <c r="M418" s="47">
        <f ca="1">IFERROR(__xludf.DUMMYFUNCTION("IMPORTRANGE(""https://docs.google.com/spreadsheets/d/1-uDff_7J0KD5mKrp0Vvzr7lt3OU09vwQwhkpOPPYv2Y/edit?usp=sharing"",""งบพรบ!IT77"")"),403280)</f>
        <v>403280</v>
      </c>
      <c r="N418" s="47">
        <f ca="1">IFERROR(__xludf.DUMMYFUNCTION("IMPORTRANGE(""https://docs.google.com/spreadsheets/d/1-uDff_7J0KD5mKrp0Vvzr7lt3OU09vwQwhkpOPPYv2Y/edit?usp=sharing"",""งบพรบ!IV77"")"),67253.45)</f>
        <v>67253.45</v>
      </c>
      <c r="O418" s="47">
        <f ca="1">IF(L418&gt;0,N418*100/L418,0)</f>
        <v>16.676614263043046</v>
      </c>
      <c r="P418" s="47">
        <f ca="1">IF(M418&gt;0,N418*100/M418,0)</f>
        <v>16.676614263043046</v>
      </c>
      <c r="Q418" s="47">
        <f ca="1">IFERROR(__xludf.DUMMYFUNCTION("IMPORTRANGE(""https://docs.google.com/spreadsheets/d/1ItG2mGa2ceCfYo0BwxsXqNm01IGEUdYcSSLTEv9YCik/edit?usp=sharing"",""เบิกจ่ายกองทุน!BZ77"")"),64430)</f>
        <v>64430</v>
      </c>
      <c r="R418" s="47">
        <f ca="1">IFERROR(__xludf.DUMMYFUNCTION("IMPORTRANGE(""https://docs.google.com/spreadsheets/d/1ItG2mGa2ceCfYo0BwxsXqNm01IGEUdYcSSLTEv9YCik/edit?usp=sharing"",""เบิกจ่ายกองทุน!CA77"")"),64430)</f>
        <v>64430</v>
      </c>
      <c r="S418" s="47">
        <f ca="1">IFERROR(__xludf.DUMMYFUNCTION("IMPORTRANGE(""https://docs.google.com/spreadsheets/d/1ItG2mGa2ceCfYo0BwxsXqNm01IGEUdYcSSLTEv9YCik/edit?usp=sharing"",""เบิกจ่ายกองทุน!CB77"")"),0)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IFERROR(__xludf.DUMMYFUNCTION("IMPORTRANGE(""https://docs.google.com/spreadsheets/d/1-uDff_7J0KD5mKrp0Vvzr7lt3OU09vwQwhkpOPPYv2Y/edit?usp=sharing"",""งบพรบ!IR77"")"),0)</f>
        <v>0</v>
      </c>
      <c r="M421" s="47">
        <f ca="1">IFERROR(__xludf.DUMMYFUNCTION("IMPORTRANGE(""https://docs.google.com/spreadsheets/d/1-uDff_7J0KD5mKrp0Vvzr7lt3OU09vwQwhkpOPPYv2Y/edit?usp=sharing"",""งบพรบ!IU77"")"),0)</f>
        <v>0</v>
      </c>
      <c r="N421" s="47">
        <f ca="1">IFERROR(__xludf.DUMMYFUNCTION("IMPORTRANGE(""https://docs.google.com/spreadsheets/d/1-uDff_7J0KD5mKrp0Vvzr7lt3OU09vwQwhkpOPPYv2Y/edit?usp=sharing"",""งบพรบ!IW77"")"),0)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26015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IFERROR(__xludf.DUMMYFUNCTION("IMPORTRANGE(""https://docs.google.com/spreadsheets/d/1eHaY18a8A9IcSdp1K8H6x8fbOy06t2VsZHhMHf-1x7Y/edit?usp=sharing"",""แผน!HJ77"")"),26015)</f>
        <v>26015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IFERROR(__xludf.DUMMYFUNCTION("IMPORTRANGE(""https://docs.google.com/spreadsheets/d/1eHaY18a8A9IcSdp1K8H6x8fbOy06t2VsZHhMHf-1x7Y/edit?usp=sharing"",""แผน!HK77"")"),2978)</f>
        <v>2978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IFERROR(__xludf.DUMMYFUNCTION("IMPORTRANGE(""https://docs.google.com/spreadsheets/d/1eHaY18a8A9IcSdp1K8H6x8fbOy06t2VsZHhMHf-1x7Y/edit?usp=sharing"",""แผน!HJ77"")"),26015)</f>
        <v>26015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IFERROR(__xludf.DUMMYFUNCTION("IMPORTRANGE(""https://docs.google.com/spreadsheets/d/1eHaY18a8A9IcSdp1K8H6x8fbOy06t2VsZHhMHf-1x7Y/edit?usp=sharing"",""แผน!HK77"")"),2978)</f>
        <v>2978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IFERROR(__xludf.DUMMYFUNCTION("IMPORTRANGE(""https://docs.google.com/spreadsheets/d/1eHaY18a8A9IcSdp1K8H6x8fbOy06t2VsZHhMHf-1x7Y/edit?usp=sharing"",""แผน!HJ77"")"),26015)</f>
        <v>26015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IFERROR(__xludf.DUMMYFUNCTION("IMPORTRANGE(""https://docs.google.com/spreadsheets/d/1eHaY18a8A9IcSdp1K8H6x8fbOy06t2VsZHhMHf-1x7Y/edit?usp=sharing"",""แผน!HK77"")"),2978)</f>
        <v>2978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170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IFERROR(__xludf.DUMMYFUNCTION("IMPORTRANGE(""https://docs.google.com/spreadsheets/d/1eHaY18a8A9IcSdp1K8H6x8fbOy06t2VsZHhMHf-1x7Y/edit?usp=sharing"",""แผน!HL77"")"),170)</f>
        <v>170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IFERROR(__xludf.DUMMYFUNCTION("IMPORTRANGE(""https://docs.google.com/spreadsheets/d/1eHaY18a8A9IcSdp1K8H6x8fbOy06t2VsZHhMHf-1x7Y/edit?usp=sharing"",""แผน!HM77"")"),0)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IFERROR(__xludf.DUMMYFUNCTION("IMPORTRANGE(""https://docs.google.com/spreadsheets/d/1-uDff_7J0KD5mKrp0Vvzr7lt3OU09vwQwhkpOPPYv2Y/edit?usp=sharing"",""งบพรบ!HU77"")"),0)</f>
        <v>0</v>
      </c>
      <c r="M498" s="47">
        <f ca="1">IFERROR(__xludf.DUMMYFUNCTION("IMPORTRANGE(""https://docs.google.com/spreadsheets/d/1-uDff_7J0KD5mKrp0Vvzr7lt3OU09vwQwhkpOPPYv2Y/edit?usp=sharing"",""งบพรบ!HZ77"")"),0)</f>
        <v>0</v>
      </c>
      <c r="N498" s="47">
        <f ca="1">IFERROR(__xludf.DUMMYFUNCTION("IMPORTRANGE(""https://docs.google.com/spreadsheets/d/1-uDff_7J0KD5mKrp0Vvzr7lt3OU09vwQwhkpOPPYv2Y/edit?usp=sharing"",""งบพรบ!IB77"")"),0)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IFERROR(__xludf.DUMMYFUNCTION("IMPORTRANGE(""https://docs.google.com/spreadsheets/d/1-uDff_7J0KD5mKrp0Vvzr7lt3OU09vwQwhkpOPPYv2Y/edit?usp=sharing"",""งบพรบ!HX77"")"),0)</f>
        <v>0</v>
      </c>
      <c r="M501" s="47">
        <f ca="1">IFERROR(__xludf.DUMMYFUNCTION("IMPORTRANGE(""https://docs.google.com/spreadsheets/d/1-uDff_7J0KD5mKrp0Vvzr7lt3OU09vwQwhkpOPPYv2Y/edit?usp=sharing"",""งบพรบ!IA77"")"),0)</f>
        <v>0</v>
      </c>
      <c r="N501" s="47">
        <f ca="1">IFERROR(__xludf.DUMMYFUNCTION("IMPORTRANGE(""https://docs.google.com/spreadsheets/d/1-uDff_7J0KD5mKrp0Vvzr7lt3OU09vwQwhkpOPPYv2Y/edit?usp=sharing"",""งบพรบ!IC77"")"),0)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IFERROR(__xludf.DUMMYFUNCTION("IMPORTRANGE(""https://docs.google.com/spreadsheets/d/1-uDff_7J0KD5mKrp0Vvzr7lt3OU09vwQwhkpOPPYv2Y/edit?usp=sharing"",""งบพรบ!FW77"")"),0)</f>
        <v>0</v>
      </c>
      <c r="M539" s="47">
        <f ca="1">IFERROR(__xludf.DUMMYFUNCTION("IMPORTRANGE(""https://docs.google.com/spreadsheets/d/1-uDff_7J0KD5mKrp0Vvzr7lt3OU09vwQwhkpOPPYv2Y/edit?usp=sharing"",""งบพรบ!GB77"")"),0)</f>
        <v>0</v>
      </c>
      <c r="N539" s="47">
        <f ca="1">IFERROR(__xludf.DUMMYFUNCTION("IMPORTRANGE(""https://docs.google.com/spreadsheets/d/1-uDff_7J0KD5mKrp0Vvzr7lt3OU09vwQwhkpOPPYv2Y/edit?usp=sharing"",""งบพรบ!GD77"")"),0)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IFERROR(__xludf.DUMMYFUNCTION("IMPORTRANGE(""https://docs.google.com/spreadsheets/d/1-uDff_7J0KD5mKrp0Vvzr7lt3OU09vwQwhkpOPPYv2Y/edit?usp=sharing"",""งบพรบ!FZ77"")"),0)</f>
        <v>0</v>
      </c>
      <c r="M542" s="47">
        <f ca="1">IFERROR(__xludf.DUMMYFUNCTION("IMPORTRANGE(""https://docs.google.com/spreadsheets/d/1-uDff_7J0KD5mKrp0Vvzr7lt3OU09vwQwhkpOPPYv2Y/edit?usp=sharing"",""งบพรบ!GC77"")"),0)</f>
        <v>0</v>
      </c>
      <c r="N542" s="47">
        <f ca="1">IFERROR(__xludf.DUMMYFUNCTION("IMPORTRANGE(""https://docs.google.com/spreadsheets/d/1-uDff_7J0KD5mKrp0Vvzr7lt3OU09vwQwhkpOPPYv2Y/edit?usp=sharing"",""งบพรบ!GE77"")"),0)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IFERROR(__xludf.DUMMYFUNCTION("IMPORTRANGE(""https://docs.google.com/spreadsheets/d/1-uDff_7J0KD5mKrp0Vvzr7lt3OU09vwQwhkpOPPYv2Y/edit?usp=sharing"",""งบพรบ!GG77"")"),0)</f>
        <v>0</v>
      </c>
      <c r="M560" s="47">
        <f ca="1">IFERROR(__xludf.DUMMYFUNCTION("IMPORTRANGE(""https://docs.google.com/spreadsheets/d/1-uDff_7J0KD5mKrp0Vvzr7lt3OU09vwQwhkpOPPYv2Y/edit?usp=sharing"",""งบพรบ!GL77"")"),0)</f>
        <v>0</v>
      </c>
      <c r="N560" s="47">
        <f ca="1">IFERROR(__xludf.DUMMYFUNCTION("IMPORTRANGE(""https://docs.google.com/spreadsheets/d/1-uDff_7J0KD5mKrp0Vvzr7lt3OU09vwQwhkpOPPYv2Y/edit?usp=sharing"",""งบพรบ!GN77"")"),0)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IFERROR(__xludf.DUMMYFUNCTION("IMPORTRANGE(""https://docs.google.com/spreadsheets/d/1-uDff_7J0KD5mKrp0Vvzr7lt3OU09vwQwhkpOPPYv2Y/edit?usp=sharing"",""งบพรบ!GJ77"")"),0)</f>
        <v>0</v>
      </c>
      <c r="M563" s="47">
        <f ca="1">IFERROR(__xludf.DUMMYFUNCTION("IMPORTRANGE(""https://docs.google.com/spreadsheets/d/1-uDff_7J0KD5mKrp0Vvzr7lt3OU09vwQwhkpOPPYv2Y/edit?usp=sharing"",""งบพรบ!GM77"")"),0)</f>
        <v>0</v>
      </c>
      <c r="N563" s="47">
        <f ca="1">IFERROR(__xludf.DUMMYFUNCTION("IMPORTRANGE(""https://docs.google.com/spreadsheets/d/1-uDff_7J0KD5mKrp0Vvzr7lt3OU09vwQwhkpOPPYv2Y/edit?usp=sharing"",""งบพรบ!GO77"")"),0)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IFERROR(__xludf.DUMMYFUNCTION("IMPORTRANGE(""https://docs.google.com/spreadsheets/d/1-uDff_7J0KD5mKrp0Vvzr7lt3OU09vwQwhkpOPPYv2Y/edit?usp=sharing"",""งบพรบ!GQ77"")"),0)</f>
        <v>0</v>
      </c>
      <c r="M581" s="47">
        <f ca="1">IFERROR(__xludf.DUMMYFUNCTION("IMPORTRANGE(""https://docs.google.com/spreadsheets/d/1-uDff_7J0KD5mKrp0Vvzr7lt3OU09vwQwhkpOPPYv2Y/edit?usp=sharing"",""งบพรบ!GV77"")"),0)</f>
        <v>0</v>
      </c>
      <c r="N581" s="47">
        <f ca="1">IFERROR(__xludf.DUMMYFUNCTION("IMPORTRANGE(""https://docs.google.com/spreadsheets/d/1-uDff_7J0KD5mKrp0Vvzr7lt3OU09vwQwhkpOPPYv2Y/edit?usp=sharing"",""งบพรบ!GX77"")"),0)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IFERROR(__xludf.DUMMYFUNCTION("IMPORTRANGE(""https://docs.google.com/spreadsheets/d/1-uDff_7J0KD5mKrp0Vvzr7lt3OU09vwQwhkpOPPYv2Y/edit?usp=sharing"",""งบพรบ!GT77"")"),0)</f>
        <v>0</v>
      </c>
      <c r="M584" s="47">
        <f ca="1">IFERROR(__xludf.DUMMYFUNCTION("IMPORTRANGE(""https://docs.google.com/spreadsheets/d/1-uDff_7J0KD5mKrp0Vvzr7lt3OU09vwQwhkpOPPYv2Y/edit?usp=sharing"",""งบพรบ!GW77"")"),0)</f>
        <v>0</v>
      </c>
      <c r="N584" s="47">
        <f ca="1">IFERROR(__xludf.DUMMYFUNCTION("IMPORTRANGE(""https://docs.google.com/spreadsheets/d/1-uDff_7J0KD5mKrp0Vvzr7lt3OU09vwQwhkpOPPYv2Y/edit?usp=sharing"",""งบพรบ!GY77"")"),0)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IFERROR(__xludf.DUMMYFUNCTION("IMPORTRANGE(""https://docs.google.com/spreadsheets/d/1-uDff_7J0KD5mKrp0Vvzr7lt3OU09vwQwhkpOPPYv2Y/edit?usp=sharing"",""งบพรบ!HK77"")"),0)</f>
        <v>0</v>
      </c>
      <c r="M604" s="47">
        <f ca="1">IFERROR(__xludf.DUMMYFUNCTION("IMPORTRANGE(""https://docs.google.com/spreadsheets/d/1-uDff_7J0KD5mKrp0Vvzr7lt3OU09vwQwhkpOPPYv2Y/edit?usp=sharing"",""งบพรบ!HP77"")"),0)</f>
        <v>0</v>
      </c>
      <c r="N604" s="47">
        <f ca="1">IFERROR(__xludf.DUMMYFUNCTION("IMPORTRANGE(""https://docs.google.com/spreadsheets/d/1-uDff_7J0KD5mKrp0Vvzr7lt3OU09vwQwhkpOPPYv2Y/edit?usp=sharing"",""งบพรบ!HR77"")"),0)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IFERROR(__xludf.DUMMYFUNCTION("IMPORTRANGE(""https://docs.google.com/spreadsheets/d/1ItG2mGa2ceCfYo0BwxsXqNm01IGEUdYcSSLTEv9YCik/edit?usp=sharing"",""เบิกจ่ายกองทุน!AX77"")"),0)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IFERROR(__xludf.DUMMYFUNCTION("IMPORTRANGE(""https://docs.google.com/spreadsheets/d/1-uDff_7J0KD5mKrp0Vvzr7lt3OU09vwQwhkpOPPYv2Y/edit?usp=sharing"",""งบพรบ!HN77"")"),0)</f>
        <v>0</v>
      </c>
      <c r="M607" s="47">
        <f ca="1">IFERROR(__xludf.DUMMYFUNCTION("IMPORTRANGE(""https://docs.google.com/spreadsheets/d/1-uDff_7J0KD5mKrp0Vvzr7lt3OU09vwQwhkpOPPYv2Y/edit?usp=sharing"",""งบพรบ!HQ77"")"),0)</f>
        <v>0</v>
      </c>
      <c r="N607" s="47">
        <f ca="1">IFERROR(__xludf.DUMMYFUNCTION("IMPORTRANGE(""https://docs.google.com/spreadsheets/d/1-uDff_7J0KD5mKrp0Vvzr7lt3OU09vwQwhkpOPPYv2Y/edit?usp=sharing"",""งบพรบ!HS77"")"),0)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7350</v>
      </c>
      <c r="R616" s="132">
        <f ca="1">R617+R618</f>
        <v>7350</v>
      </c>
      <c r="S616" s="132">
        <f ca="1">S617+S618</f>
        <v>1600</v>
      </c>
      <c r="T616" s="132">
        <f ca="1">IF(Q616&gt;0,S616*100/Q616,0)</f>
        <v>21.768707482993197</v>
      </c>
      <c r="U616" s="132">
        <f ca="1">IF(R616&gt;0,S616*100/R616,0)</f>
        <v>21.768707482993197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7350</v>
      </c>
      <c r="R618" s="47">
        <f ca="1">R621+R624</f>
        <v>7350</v>
      </c>
      <c r="S618" s="47">
        <f ca="1">S621+S624</f>
        <v>1600</v>
      </c>
      <c r="T618" s="47">
        <f ca="1">IF(Q618&gt;0,S618*100/Q618,0)</f>
        <v>21.768707482993197</v>
      </c>
      <c r="U618" s="47">
        <f ca="1">IF(R618&gt;0,S618*100/R618,0)</f>
        <v>21.768707482993197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7350</v>
      </c>
      <c r="R619" s="47">
        <f ca="1">R620+R621</f>
        <v>7350</v>
      </c>
      <c r="S619" s="47">
        <f ca="1">S620+S621</f>
        <v>1600</v>
      </c>
      <c r="T619" s="47">
        <f ca="1">IF(Q619&gt;0,S619*100/Q619,0)</f>
        <v>21.768707482993197</v>
      </c>
      <c r="U619" s="47">
        <f ca="1">IF(R619&gt;0,S619*100/R619,0)</f>
        <v>21.768707482993197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ca="1">IF(Q621&gt;0,S621*100/Q621,0)</f>
        <v>21.768707482993197</v>
      </c>
      <c r="U621" s="47">
        <f ca="1">IF(R621&gt;0,S621*100/R621,0)</f>
        <v>21.768707482993197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IFERROR(__xludf.DUMMYFUNCTION("IMPORTRANGE(""https://docs.google.com/spreadsheets/d/1eHaY18a8A9IcSdp1K8H6x8fbOy06t2VsZHhMHf-1x7Y/edit?usp=sharing"",""แผน!IC77"")"),1)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IFERROR(__xludf.DUMMYFUNCTION("IMPORTRANGE(""https://docs.google.com/spreadsheets/d/1eHaY18a8A9IcSdp1K8H6x8fbOy06t2VsZHhMHf-1x7Y/edit?usp=sharing"",""แผน!IF77"")"),0)</f>
        <v>0</v>
      </c>
      <c r="J652" s="15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IFERROR(__xludf.DUMMYFUNCTION("IMPORTRANGE(""https://docs.google.com/spreadsheets/d/1eHaY18a8A9IcSdp1K8H6x8fbOy06t2VsZHhMHf-1x7Y/edit?usp=sharing"",""แผน!IG77"")"),0)</f>
        <v>0</v>
      </c>
      <c r="J653" s="15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IFERROR(__xludf.DUMMYFUNCTION("IMPORTRANGE(""https://docs.google.com/spreadsheets/d/1eHaY18a8A9IcSdp1K8H6x8fbOy06t2VsZHhMHf-1x7Y/edit?usp=sharing"",""แผน!IL77"")"),0)</f>
        <v>0</v>
      </c>
      <c r="J673" s="15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IFERROR(__xludf.DUMMYFUNCTION("IMPORTRANGE(""https://docs.google.com/spreadsheets/d/1eHaY18a8A9IcSdp1K8H6x8fbOy06t2VsZHhMHf-1x7Y/edit?usp=sharing"",""แผน!IO77"")"),0)</f>
        <v>0</v>
      </c>
      <c r="J676" s="15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IFERROR(__xludf.DUMMYFUNCTION("IMPORTRANGE(""https://docs.google.com/spreadsheets/d/1eHaY18a8A9IcSdp1K8H6x8fbOy06t2VsZHhMHf-1x7Y/edit?usp=sharing"",""แผน!IP77"")"),0)</f>
        <v>0</v>
      </c>
      <c r="J678" s="15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IFERROR(__xludf.DUMMYFUNCTION("IMPORTRANGE(""https://docs.google.com/spreadsheets/d/1eHaY18a8A9IcSdp1K8H6x8fbOy06t2VsZHhMHf-1x7Y/edit?usp=sharing"",""แผน!IQ77"")"),0)</f>
        <v>0</v>
      </c>
      <c r="J679" s="15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IFERROR(__xludf.DUMMYFUNCTION("IMPORTRANGE(""https://docs.google.com/spreadsheets/d/1eHaY18a8A9IcSdp1K8H6x8fbOy06t2VsZHhMHf-1x7Y/edit?usp=sharing"",""แผน!IR77"")"),0)</f>
        <v>0</v>
      </c>
      <c r="J681" s="15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64340</v>
      </c>
      <c r="R690" s="132">
        <f ca="1">R691+R692</f>
        <v>64340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64340</v>
      </c>
      <c r="R692" s="47">
        <f ca="1">R695+R698</f>
        <v>64340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64340</v>
      </c>
      <c r="R693" s="47">
        <f ca="1">R694+R695</f>
        <v>64340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1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IFERROR(__xludf.DUMMYFUNCTION("IMPORTRANGE(""https://docs.google.com/spreadsheets/d/1eHaY18a8A9IcSdp1K8H6x8fbOy06t2VsZHhMHf-1x7Y/edit?usp=sharing"",""แผน!LJ77"")"),0)</f>
        <v>0</v>
      </c>
      <c r="J703" s="15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IFERROR(__xludf.DUMMYFUNCTION("IMPORTRANGE(""https://docs.google.com/spreadsheets/d/1eHaY18a8A9IcSdp1K8H6x8fbOy06t2VsZHhMHf-1x7Y/edit?usp=sharing"",""แผน!LK77"")"),1)</f>
        <v>1</v>
      </c>
      <c r="J705" s="152">
        <f ca="1">IFERROR(__xludf.DUMMYFUNCTION("IMPORTRANGE(""https://docs.google.com/spreadsheets/d/1tdoBKaGub7dwA3U6UFTqxio9LNnvDCQjHKmttSEBsFQ/edit?usp=sharing"",""จัดที่ดิน!AR77"")"),0)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IFERROR(__xludf.DUMMYFUNCTION("IMPORTRANGE(""https://docs.google.com/spreadsheets/d/1eHaY18a8A9IcSdp1K8H6x8fbOy06t2VsZHhMHf-1x7Y/edit?usp=sharing"",""แผน!LJ77"")"),0)</f>
        <v>0</v>
      </c>
      <c r="J707" s="15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IFERROR(__xludf.DUMMYFUNCTION("IMPORTRANGE(""https://docs.google.com/spreadsheets/d/1eHaY18a8A9IcSdp1K8H6x8fbOy06t2VsZHhMHf-1x7Y/edit?usp=sharing"",""แผน!LK77"")"),1)</f>
        <v>1</v>
      </c>
      <c r="J709" s="15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ca="1">IF(I709&gt;0,J709*100/I709,0)</f>
        <v>300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IFERROR(__xludf.DUMMYFUNCTION("IMPORTRANGE(""https://docs.google.com/spreadsheets/d/1eHaY18a8A9IcSdp1K8H6x8fbOy06t2VsZHhMHf-1x7Y/edit?usp=sharing"",""แผน!GA77"")"),31)</f>
        <v>31</v>
      </c>
      <c r="J726" s="483">
        <f>J742+J746+J749</f>
        <v>30</v>
      </c>
      <c r="K726" s="484">
        <f ca="1">IF(I726&gt;0,J726*100/I726,0)</f>
        <v>96.774193548387103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IFERROR(__xludf.DUMMYFUNCTION("IMPORTRANGE(""https://docs.google.com/spreadsheets/d/1eHaY18a8A9IcSdp1K8H6x8fbOy06t2VsZHhMHf-1x7Y/edit?usp=sharing"",""แผน!FZ77"")"),300)</f>
        <v>300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242546</v>
      </c>
      <c r="R728" s="132">
        <f ca="1">R729+R730</f>
        <v>242546</v>
      </c>
      <c r="S728" s="132">
        <f ca="1">S729+S730</f>
        <v>28440</v>
      </c>
      <c r="T728" s="132">
        <f ca="1">IF(Q728&gt;0,S728*100/Q728,0)</f>
        <v>11.725610811969688</v>
      </c>
      <c r="U728" s="132">
        <f ca="1">IF(R728&gt;0,S728*100/R728,0)</f>
        <v>11.725610811969688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242546</v>
      </c>
      <c r="R730" s="47">
        <f ca="1">R733+R736</f>
        <v>242546</v>
      </c>
      <c r="S730" s="47">
        <f ca="1">S733+S736</f>
        <v>28440</v>
      </c>
      <c r="T730" s="47">
        <f ca="1">IF(Q730&gt;0,S730*100/Q730,0)</f>
        <v>11.725610811969688</v>
      </c>
      <c r="U730" s="47">
        <f ca="1">IF(R730&gt;0,S730*100/R730,0)</f>
        <v>11.725610811969688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242546</v>
      </c>
      <c r="R731" s="47">
        <f ca="1">R732+R733</f>
        <v>242546</v>
      </c>
      <c r="S731" s="47">
        <f ca="1">S732+S733</f>
        <v>28440</v>
      </c>
      <c r="T731" s="47">
        <f ca="1">IF(Q731&gt;0,S731*100/Q731,0)</f>
        <v>11.725610811969688</v>
      </c>
      <c r="U731" s="47">
        <f ca="1">IF(R731&gt;0,S731*100/R731,0)</f>
        <v>11.725610811969688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IFERROR(__xludf.DUMMYFUNCTION("IMPORTRANGE(""https://docs.google.com/spreadsheets/d/1ItG2mGa2ceCfYo0BwxsXqNm01IGEUdYcSSLTEv9YCik/edit?usp=sharing"",""เบิกจ่ายกองทุน!Q77"")"),28440)</f>
        <v>28440</v>
      </c>
      <c r="T733" s="47">
        <f ca="1">IF(Q733&gt;0,S733*100/Q733,0)</f>
        <v>11.725610811969688</v>
      </c>
      <c r="U733" s="47">
        <f ca="1">IF(R733&gt;0,S733*100/R733,0)</f>
        <v>11.725610811969688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IFERROR(__xludf.DUMMYFUNCTION("IMPORTRANGE(""https://docs.google.com/spreadsheets/d/1eHaY18a8A9IcSdp1K8H6x8fbOy06t2VsZHhMHf-1x7Y/edit?usp=sharing"",""แผน!GB77"")"),240)</f>
        <v>240</v>
      </c>
      <c r="J740" s="554">
        <v>240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24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IFERROR(__xludf.DUMMYFUNCTION("IMPORTRANGE(""https://docs.google.com/spreadsheets/d/1eHaY18a8A9IcSdp1K8H6x8fbOy06t2VsZHhMHf-1x7Y/edit?usp=sharing"",""แผน!GC77"")"),24)</f>
        <v>24</v>
      </c>
      <c r="J742" s="554">
        <v>24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IFERROR(__xludf.DUMMYFUNCTION("IMPORTRANGE(""https://docs.google.com/spreadsheets/d/1eHaY18a8A9IcSdp1K8H6x8fbOy06t2VsZHhMHf-1x7Y/edit?usp=sharing"",""แผน!GD77"")"),60)</f>
        <v>60</v>
      </c>
      <c r="J744" s="554">
        <v>60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6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IFERROR(__xludf.DUMMYFUNCTION("IMPORTRANGE(""https://docs.google.com/spreadsheets/d/1eHaY18a8A9IcSdp1K8H6x8fbOy06t2VsZHhMHf-1x7Y/edit?usp=sharing"",""แผน!GE77"")"),6)</f>
        <v>6</v>
      </c>
      <c r="J746" s="554">
        <v>6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IFERROR(__xludf.DUMMYFUNCTION("IMPORTRANGE(""https://docs.google.com/spreadsheets/d/1eHaY18a8A9IcSdp1K8H6x8fbOy06t2VsZHhMHf-1x7Y/edit?usp=sharing"",""แผน!GF77"")"),1)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IFERROR(__xludf.DUMMYFUNCTION("IMPORTRANGE(""https://docs.google.com/spreadsheets/d/1eHaY18a8A9IcSdp1K8H6x8fbOy06t2VsZHhMHf-1x7Y/edit?usp=sharing"",""แผน!GB77"")"),240)</f>
        <v>240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IFERROR(__xludf.DUMMYFUNCTION("IMPORTRANGE(""https://docs.google.com/spreadsheets/d/1eHaY18a8A9IcSdp1K8H6x8fbOy06t2VsZHhMHf-1x7Y/edit?usp=sharing"",""แผน!GD77"")"),60)</f>
        <v>60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148660</v>
      </c>
      <c r="R760" s="132">
        <f ca="1">R761+R762</f>
        <v>148660</v>
      </c>
      <c r="S760" s="132">
        <f ca="1">S761+S762</f>
        <v>45366.8</v>
      </c>
      <c r="T760" s="132">
        <f ca="1">IF(Q760&gt;0,S760*100/Q760,0)</f>
        <v>30.517153235571101</v>
      </c>
      <c r="U760" s="132">
        <f ca="1">IF(R760&gt;0,S760*100/R760,0)</f>
        <v>30.517153235571101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148660</v>
      </c>
      <c r="R762" s="47">
        <f ca="1">R765+R768</f>
        <v>148660</v>
      </c>
      <c r="S762" s="47">
        <f ca="1">S765+S768</f>
        <v>45366.8</v>
      </c>
      <c r="T762" s="47">
        <f ca="1">IF(Q762&gt;0,S762*100/Q762,0)</f>
        <v>30.517153235571101</v>
      </c>
      <c r="U762" s="47">
        <f ca="1">IF(R762&gt;0,S762*100/R762,0)</f>
        <v>30.517153235571101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148660</v>
      </c>
      <c r="R763" s="47">
        <f ca="1">R764+R765</f>
        <v>148660</v>
      </c>
      <c r="S763" s="47">
        <f ca="1">S764+S765</f>
        <v>45366.8</v>
      </c>
      <c r="T763" s="47">
        <f ca="1">IF(Q763&gt;0,S763*100/Q763,0)</f>
        <v>30.517153235571101</v>
      </c>
      <c r="U763" s="47">
        <f ca="1">IF(R763&gt;0,S763*100/R763,0)</f>
        <v>30.517153235571101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IFERROR(__xludf.DUMMYFUNCTION("IMPORTRANGE(""https://docs.google.com/spreadsheets/d/1ItG2mGa2ceCfYo0BwxsXqNm01IGEUdYcSSLTEv9YCik/edit?usp=sharing"",""เบิกจ่ายกองทุน!AB77"")"),148660)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IFERROR(__xludf.DUMMYFUNCTION("IMPORTRANGE(""https://docs.google.com/spreadsheets/d/1ItG2mGa2ceCfYo0BwxsXqNm01IGEUdYcSSLTEv9YCik/edit?usp=sharing"",""เบิกจ่ายกองทุน!AC77"")"),45366.8)</f>
        <v>45366.8</v>
      </c>
      <c r="T765" s="47">
        <f ca="1">IF(Q765&gt;0,S765*100/Q765,0)</f>
        <v>30.517153235571101</v>
      </c>
      <c r="U765" s="47">
        <f ca="1">IF(R765&gt;0,S765*100/R765,0)</f>
        <v>30.517153235571101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IFERROR(__xludf.DUMMYFUNCTION("IMPORTRANGE(""https://docs.google.com/spreadsheets/d/1eHaY18a8A9IcSdp1K8H6x8fbOy06t2VsZHhMHf-1x7Y/edit?usp=sharing"",""แผน!FI77"")"),1)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IFERROR(__xludf.DUMMYFUNCTION("IMPORTRANGE(""https://docs.google.com/spreadsheets/d/1eHaY18a8A9IcSdp1K8H6x8fbOy06t2VsZHhMHf-1x7Y/edit?usp=sharing"",""แผน!FT77"")"),20)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IFERROR(__xludf.DUMMYFUNCTION("IMPORTRANGE(""https://docs.google.com/spreadsheets/d/10OvvATaaLtwErnr3qtWFcTmtbfpFEt5Bsqel9sXx0uE/edit?usp=sharing"",""งานกองทุน!D77"")"),908878.42)</f>
        <v>908878.42</v>
      </c>
      <c r="J778" s="152">
        <f ca="1">IFERROR(__xludf.DUMMYFUNCTION("IMPORTRANGE(""https://docs.google.com/spreadsheets/d/10OvvATaaLtwErnr3qtWFcTmtbfpFEt5Bsqel9sXx0uE/edit?usp=sharing"",""งานกองทุน!F77"")"),607168.26)</f>
        <v>607168.26</v>
      </c>
      <c r="K778" s="47">
        <f ca="1">IF(I778&gt;0,J778*100/I778,0)</f>
        <v>66.804123262163046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IFERROR(__xludf.DUMMYFUNCTION("IMPORTRANGE(""https://docs.google.com/spreadsheets/d/10OvvATaaLtwErnr3qtWFcTmtbfpFEt5Bsqel9sXx0uE/edit?usp=sharing"",""งานกองทุน!C77"")"),66)</f>
        <v>66</v>
      </c>
      <c r="J779" s="152">
        <f ca="1">IFERROR(__xludf.DUMMYFUNCTION("IMPORTRANGE(""https://docs.google.com/spreadsheets/d/10OvvATaaLtwErnr3qtWFcTmtbfpFEt5Bsqel9sXx0uE/edit?usp=sharing"",""งานกองทุน!E77"")"),48)</f>
        <v>48</v>
      </c>
      <c r="K779" s="47">
        <f ca="1">IF(I779&gt;0,J779*100/I779,0)</f>
        <v>72.727272727272734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152">
        <f ca="1">IFERROR(__xludf.DUMMYFUNCTION("IMPORTRANGE(""https://docs.google.com/spreadsheets/d/10OvvATaaLtwErnr3qtWFcTmtbfpFEt5Bsqel9sXx0uE/edit?usp=sharing"",""งานกองทุน!K77"")"),402769.69)</f>
        <v>402769.69</v>
      </c>
      <c r="K780" s="47">
        <f ca="1">IF(I780&gt;0,J780*100/I780,0)</f>
        <v>19.966198271565478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IFERROR(__xludf.DUMMYFUNCTION("IMPORTRANGE(""https://docs.google.com/spreadsheets/d/10OvvATaaLtwErnr3qtWFcTmtbfpFEt5Bsqel9sXx0uE/edit?usp=sharing"",""งานกองทุน!H77"")"),79)</f>
        <v>79</v>
      </c>
      <c r="J781" s="152">
        <f ca="1">IFERROR(__xludf.DUMMYFUNCTION("IMPORTRANGE(""https://docs.google.com/spreadsheets/d/10OvvATaaLtwErnr3qtWFcTmtbfpFEt5Bsqel9sXx0uE/edit?usp=sharing"",""งานกองทุน!J77"")"),40)</f>
        <v>40</v>
      </c>
      <c r="K781" s="47">
        <f ca="1">IF(I781&gt;0,J781*100/I781,0)</f>
        <v>50.632911392405063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IFERROR(__xludf.DUMMYFUNCTION("IMPORTRANGE(""https://docs.google.com/spreadsheets/d/10OvvATaaLtwErnr3qtWFcTmtbfpFEt5Bsqel9sXx0uE/edit?usp=sharing"",""งานกองทุน!N77"")"),0)</f>
        <v>0</v>
      </c>
      <c r="J782" s="15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IFERROR(__xludf.DUMMYFUNCTION("IMPORTRANGE(""https://docs.google.com/spreadsheets/d/10OvvATaaLtwErnr3qtWFcTmtbfpFEt5Bsqel9sXx0uE/edit?usp=sharing"",""งานกองทุน!M77"")"),0)</f>
        <v>0</v>
      </c>
      <c r="J783" s="15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IFERROR(__xludf.DUMMYFUNCTION("IMPORTRANGE(""https://docs.google.com/spreadsheets/d/10OvvATaaLtwErnr3qtWFcTmtbfpFEt5Bsqel9sXx0uE/edit?usp=sharing"",""งานกองทุน!S77"")"),2296000)</f>
        <v>2296000</v>
      </c>
      <c r="J784" s="152">
        <f ca="1">IFERROR(__xludf.DUMMYFUNCTION("IMPORTRANGE(""https://docs.google.com/spreadsheets/d/10OvvATaaLtwErnr3qtWFcTmtbfpFEt5Bsqel9sXx0uE/edit?usp=sharing"",""งานกองทุน!U77"")"),855000)</f>
        <v>855000</v>
      </c>
      <c r="K784" s="47">
        <f ca="1">IF(I784&gt;0,J784*100/I784,0)</f>
        <v>37.238675958188153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IFERROR(__xludf.DUMMYFUNCTION("IMPORTRANGE(""https://docs.google.com/spreadsheets/d/10OvvATaaLtwErnr3qtWFcTmtbfpFEt5Bsqel9sXx0uE/edit?usp=sharing"",""งานกองทุน!R77"")"),82)</f>
        <v>82</v>
      </c>
      <c r="J785" s="197">
        <f ca="1">IFERROR(__xludf.DUMMYFUNCTION("IMPORTRANGE(""https://docs.google.com/spreadsheets/d/10OvvATaaLtwErnr3qtWFcTmtbfpFEt5Bsqel9sXx0uE/edit?usp=sharing"",""งานกองทุน!T77"")"),19)</f>
        <v>19</v>
      </c>
      <c r="K785" s="111">
        <f ca="1">IF(I785&gt;0,J785*100/I785,0)</f>
        <v>23.170731707317074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1222A-8842-497E-A502-D174669C4D07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319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7616597</v>
      </c>
      <c r="M18" s="35">
        <f ca="1">M19+M20</f>
        <v>8190841.4800000004</v>
      </c>
      <c r="N18" s="35">
        <f ca="1">N19+N20</f>
        <v>5941228.6699999999</v>
      </c>
      <c r="O18" s="35">
        <f ca="1">IF(L18&gt;0,N18*100/L18,0)</f>
        <v>78.00371570138212</v>
      </c>
      <c r="P18" s="35">
        <f ca="1">IF(M18&gt;0,N18*100/M18,0)</f>
        <v>72.535022006066214</v>
      </c>
      <c r="Q18" s="35">
        <f ca="1">Q19+Q20</f>
        <v>1227117.3900000001</v>
      </c>
      <c r="R18" s="35">
        <f ca="1">R19+R20</f>
        <v>1227117</v>
      </c>
      <c r="S18" s="35">
        <f ca="1">S19+S20</f>
        <v>314251</v>
      </c>
      <c r="T18" s="35">
        <f ca="1">IF(Q18&gt;0,S18*100/Q18,0)</f>
        <v>25.608878381228056</v>
      </c>
      <c r="U18" s="35">
        <f ca="1">IF(R18&gt;0,S18*100/R18,0)</f>
        <v>25.608886520193266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7616597</v>
      </c>
      <c r="M20" s="39">
        <f ca="1">M23+M26</f>
        <v>8190841.4800000004</v>
      </c>
      <c r="N20" s="39">
        <f ca="1">N23+N26</f>
        <v>5941228.6699999999</v>
      </c>
      <c r="O20" s="39">
        <f ca="1">IF(L20&gt;0,N20*100/L20,0)</f>
        <v>78.00371570138212</v>
      </c>
      <c r="P20" s="39">
        <f ca="1">IF(M20&gt;0,N20*100/M20,0)</f>
        <v>72.535022006066214</v>
      </c>
      <c r="Q20" s="39">
        <f ca="1">Q23+Q26</f>
        <v>1227117.3900000001</v>
      </c>
      <c r="R20" s="39">
        <f ca="1">R23+R26</f>
        <v>1227117</v>
      </c>
      <c r="S20" s="39">
        <f ca="1">S23+S26</f>
        <v>314251</v>
      </c>
      <c r="T20" s="39">
        <f ca="1">IF(Q20&gt;0,S20*100/Q20,0)</f>
        <v>25.608878381228056</v>
      </c>
      <c r="U20" s="39">
        <f ca="1">IF(R20&gt;0,S20*100/R20,0)</f>
        <v>25.608886520193266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4056597</v>
      </c>
      <c r="M21" s="47">
        <f ca="1">M22+M23</f>
        <v>4631841.4800000004</v>
      </c>
      <c r="N21" s="47">
        <f ca="1">N22+N23</f>
        <v>2762228.67</v>
      </c>
      <c r="O21" s="47">
        <f ca="1">IF(L21&gt;0,N21*100/L21,0)</f>
        <v>68.092262307544971</v>
      </c>
      <c r="P21" s="47">
        <f ca="1">IF(M21&gt;0,N21*100/M21,0)</f>
        <v>59.635647764007672</v>
      </c>
      <c r="Q21" s="47">
        <f ca="1">Q22+Q23</f>
        <v>1227117.3900000001</v>
      </c>
      <c r="R21" s="47">
        <f ca="1">R22+R23</f>
        <v>1227117</v>
      </c>
      <c r="S21" s="47">
        <f ca="1">S22+S23</f>
        <v>314251</v>
      </c>
      <c r="T21" s="47">
        <f ca="1">IF(Q21&gt;0,S21*100/Q21,0)</f>
        <v>25.608878381228056</v>
      </c>
      <c r="U21" s="47">
        <f ca="1">IF(R21&gt;0,S21*100/R21,0)</f>
        <v>25.608886520193266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4056597</v>
      </c>
      <c r="M23" s="47">
        <f ca="1">M49+M64+M77+M99+M122+M144+M162+M191+M178+M271+M287+M308+M325+M338+M361+M380+M418+M498+M518+M539+M560+M581+M604+M621+M647+M695+M719+M733+M765</f>
        <v>4631841.4800000004</v>
      </c>
      <c r="N23" s="47">
        <f ca="1">N49+N64+N77+N99+N122+N144+N162+N191+N178+N271+N287+N308+N325+N338+N361+N380+N418+N498+N518+N539+N560+N581+N604+N621+N647+N695+N719+N733+N765</f>
        <v>2762228.67</v>
      </c>
      <c r="O23" s="47">
        <f ca="1">IF(L23&gt;0,N23*100/L23,0)</f>
        <v>68.092262307544971</v>
      </c>
      <c r="P23" s="47">
        <f ca="1">IF(M23&gt;0,N23*100/M23,0)</f>
        <v>59.635647764007672</v>
      </c>
      <c r="Q23" s="47">
        <f ca="1">Q77+Q99+Q122+Q144+Q162+Q178+Q191+Q271+Q287+Q308+Q338+Q380+Q397+Q418+Q498+Q604+Q621+Q647+Q695+Q719+Q733+Q765</f>
        <v>1227117.3900000001</v>
      </c>
      <c r="R23" s="47">
        <f ca="1">R77+R99+R122+R144+R162+R178+R191+R271+R287+R308+R338+R380+R397+R418+R498+R604+R621+R647+R695+R719+R733+R765</f>
        <v>1227117</v>
      </c>
      <c r="S23" s="47">
        <f ca="1">S77+S99+S122+S144+S162+S178+S191+S271+S287+S308+S338+S380+S397+S418+S498+S604+S621+S647+S695+S719+S733+S765</f>
        <v>314251</v>
      </c>
      <c r="T23" s="47">
        <f ca="1">IF(Q23&gt;0,S23*100/Q23,0)</f>
        <v>25.608878381228056</v>
      </c>
      <c r="U23" s="47">
        <f ca="1">IF(R23&gt;0,S23*100/R23,0)</f>
        <v>25.608886520193266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3560000</v>
      </c>
      <c r="M24" s="47">
        <f ca="1">M25+M26</f>
        <v>3559000</v>
      </c>
      <c r="N24" s="47">
        <f ca="1">N25+N26</f>
        <v>3179000</v>
      </c>
      <c r="O24" s="47">
        <f ca="1">IF(L24&gt;0,N24*100/L24,0)</f>
        <v>89.297752808988761</v>
      </c>
      <c r="P24" s="47">
        <f ca="1">IF(M24&gt;0,N24*100/M24,0)</f>
        <v>89.32284349536387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3560000</v>
      </c>
      <c r="M26" s="47">
        <f ca="1">M52+M67+M80+M102+M125+M147+M165+M194+M181+M274+M290+M311+M328+M341+M364+M383+M421+M501+M521+M542+M563+M584+M607+M624+M650+M698+M722+M736+M768</f>
        <v>3559000</v>
      </c>
      <c r="N26" s="47">
        <f ca="1">N52+N67+N80+N102+N125+N147+N165+N194+N181+N274+N290+N311+N328+N341+N364+N383+N421+N501+N521+N542+N563+N584+N607+N624+N650+N698+N722+N736+N768</f>
        <v>3179000</v>
      </c>
      <c r="O26" s="47">
        <f ca="1">IF(L26&gt;0,N26*100/L26,0)</f>
        <v>89.297752808988761</v>
      </c>
      <c r="P26" s="47">
        <f ca="1">IF(M26&gt;0,N26*100/M26,0)</f>
        <v>89.32284349536387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6497420</v>
      </c>
      <c r="M40" s="803">
        <f ca="1">M44+M59+M72+M94+M125+M139+M157+M173+M186+M266+M282+M303+M320+M333+M356</f>
        <v>6857966.4800000004</v>
      </c>
      <c r="N40" s="803">
        <f ca="1">N44+N59+N72+N94+N125+N139+N157+N173+N186+N266+N282+N303+N320+N333+N356</f>
        <v>5706967.3400000008</v>
      </c>
      <c r="O40" s="803">
        <f ca="1">IF(L40&gt;0,N40*100/L40,0)</f>
        <v>87.834361023298499</v>
      </c>
      <c r="P40" s="803">
        <f ca="1">IF(M40&gt;0,N40*100/M40,0)</f>
        <v>83.216611755734348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628000</v>
      </c>
      <c r="M44" s="79">
        <f ca="1">M45+M46</f>
        <v>722059.48</v>
      </c>
      <c r="N44" s="79">
        <f ca="1">N45+N46</f>
        <v>565232.72</v>
      </c>
      <c r="O44" s="79">
        <f ca="1">IF(L44&gt;0,N44*100/L44,0)</f>
        <v>90.005210191082796</v>
      </c>
      <c r="P44" s="79">
        <f ca="1">IF(M44&gt;0,N44*100/M44,0)</f>
        <v>78.280631396183594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628000</v>
      </c>
      <c r="M46" s="83">
        <f ca="1">M49+M52</f>
        <v>722059.48</v>
      </c>
      <c r="N46" s="83">
        <f ca="1">N49+N52</f>
        <v>565232.72</v>
      </c>
      <c r="O46" s="83">
        <f ca="1">IF(L46&gt;0,N46*100/L46,0)</f>
        <v>90.005210191082796</v>
      </c>
      <c r="P46" s="83">
        <f ca="1">IF(M46&gt;0,N46*100/M46,0)</f>
        <v>78.280631396183594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628000</v>
      </c>
      <c r="M47" s="47">
        <f ca="1">M48+M49</f>
        <v>722059.48</v>
      </c>
      <c r="N47" s="47">
        <f ca="1">N48+N49</f>
        <v>565232.72</v>
      </c>
      <c r="O47" s="47">
        <f ca="1">IF(L47&gt;0,N47*100/L47,0)</f>
        <v>90.005210191082796</v>
      </c>
      <c r="P47" s="47">
        <f ca="1">IF(M47&gt;0,N47*100/M47,0)</f>
        <v>78.280631396183594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IFERROR(__xludf.DUMMYFUNCTION("IMPORTRANGE(""https://docs.google.com/spreadsheets/d/1-uDff_7J0KD5mKrp0Vvzr7lt3OU09vwQwhkpOPPYv2Y/edit?usp=sharing"",""งบพรบ!P78"")"),628000)</f>
        <v>628000</v>
      </c>
      <c r="M49" s="47">
        <f ca="1">IFERROR(__xludf.DUMMYFUNCTION("IMPORTRANGE(""https://docs.google.com/spreadsheets/d/1-uDff_7J0KD5mKrp0Vvzr7lt3OU09vwQwhkpOPPYv2Y/edit?usp=sharing"",""งบพรบ!V78"")"),722059.48)</f>
        <v>722059.48</v>
      </c>
      <c r="N49" s="47">
        <f ca="1">IFERROR(__xludf.DUMMYFUNCTION("IMPORTRANGE(""https://docs.google.com/spreadsheets/d/1-uDff_7J0KD5mKrp0Vvzr7lt3OU09vwQwhkpOPPYv2Y/edit?usp=sharing"",""งบพรบ!Y78"")"),565232.72)</f>
        <v>565232.72</v>
      </c>
      <c r="O49" s="47">
        <f ca="1">IF(L49&gt;0,N49*100/L49,0)</f>
        <v>90.005210191082796</v>
      </c>
      <c r="P49" s="47">
        <f ca="1">IF(M49&gt;0,N49*100/M49,0)</f>
        <v>78.280631396183594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4319200</v>
      </c>
      <c r="M59" s="106">
        <f ca="1">M60+M61</f>
        <v>4443082</v>
      </c>
      <c r="N59" s="106">
        <f ca="1">N60+N61</f>
        <v>3920035.07</v>
      </c>
      <c r="O59" s="106">
        <f ca="1">IF(L59&gt;0,N59*100/L59,0)</f>
        <v>90.758359649935173</v>
      </c>
      <c r="P59" s="106">
        <f ca="1">IF(M59&gt;0,N59*100/M59,0)</f>
        <v>88.227835317916714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4319200</v>
      </c>
      <c r="M61" s="109">
        <f ca="1">M64+M67</f>
        <v>4443082</v>
      </c>
      <c r="N61" s="109">
        <f ca="1">N64+N67</f>
        <v>3920035.07</v>
      </c>
      <c r="O61" s="109">
        <f ca="1">IF(L61&gt;0,N61*100/L61,0)</f>
        <v>90.758359649935173</v>
      </c>
      <c r="P61" s="109">
        <f ca="1">IF(M61&gt;0,N61*100/M61,0)</f>
        <v>88.227835317916714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759200</v>
      </c>
      <c r="M62" s="47">
        <f ca="1">M63+M64</f>
        <v>884082</v>
      </c>
      <c r="N62" s="47">
        <f ca="1">N63+N64</f>
        <v>741035.07</v>
      </c>
      <c r="O62" s="47">
        <f ca="1">IF(L62&gt;0,N62*100/L62,0)</f>
        <v>97.607359062170701</v>
      </c>
      <c r="P62" s="47">
        <f ca="1">IF(M62&gt;0,N62*100/M62,0)</f>
        <v>83.819721473799945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IFERROR(__xludf.DUMMYFUNCTION("IMPORTRANGE(""https://docs.google.com/spreadsheets/d/1-uDff_7J0KD5mKrp0Vvzr7lt3OU09vwQwhkpOPPYv2Y/edit?usp=sharing"",""งบพรบ!AC78"")"),759200)</f>
        <v>759200</v>
      </c>
      <c r="M64" s="47">
        <f ca="1">IFERROR(__xludf.DUMMYFUNCTION("IMPORTRANGE(""https://docs.google.com/spreadsheets/d/1-uDff_7J0KD5mKrp0Vvzr7lt3OU09vwQwhkpOPPYv2Y/edit?usp=sharing"",""งบพรบ!AH78"")"),884082)</f>
        <v>884082</v>
      </c>
      <c r="N64" s="47">
        <f ca="1">IFERROR(__xludf.DUMMYFUNCTION("IMPORTRANGE(""https://docs.google.com/spreadsheets/d/1-uDff_7J0KD5mKrp0Vvzr7lt3OU09vwQwhkpOPPYv2Y/edit?usp=sharing"",""งบพรบ!AJ78"")"),741035.07)</f>
        <v>741035.07</v>
      </c>
      <c r="O64" s="47">
        <f ca="1">IF(L64&gt;0,N64*100/L64,0)</f>
        <v>97.607359062170701</v>
      </c>
      <c r="P64" s="47">
        <f ca="1">IF(M64&gt;0,N64*100/M64,0)</f>
        <v>83.819721473799945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3560000</v>
      </c>
      <c r="M65" s="47">
        <f ca="1">M66+M67</f>
        <v>3559000</v>
      </c>
      <c r="N65" s="47">
        <f ca="1">N66+N67</f>
        <v>3179000</v>
      </c>
      <c r="O65" s="47">
        <f ca="1">IF(L65&gt;0,N65*100/L65,0)</f>
        <v>89.297752808988761</v>
      </c>
      <c r="P65" s="47">
        <f ca="1">IF(M65&gt;0,N65*100/M65,0)</f>
        <v>89.32284349536387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IFERROR(__xludf.DUMMYFUNCTION("IMPORTRANGE(""https://docs.google.com/spreadsheets/d/1-uDff_7J0KD5mKrp0Vvzr7lt3OU09vwQwhkpOPPYv2Y/edit?usp=sharing"",""งบพรบ!AF78"")"),3560000)</f>
        <v>3560000</v>
      </c>
      <c r="M67" s="111">
        <f ca="1">IFERROR(__xludf.DUMMYFUNCTION("IMPORTRANGE(""https://docs.google.com/spreadsheets/d/1-uDff_7J0KD5mKrp0Vvzr7lt3OU09vwQwhkpOPPYv2Y/edit?usp=sharing"",""งบพรบ!AI78"")"),3559000)</f>
        <v>3559000</v>
      </c>
      <c r="N67" s="111">
        <f ca="1">IFERROR(__xludf.DUMMYFUNCTION("IMPORTRANGE(""https://docs.google.com/spreadsheets/d/1-uDff_7J0KD5mKrp0Vvzr7lt3OU09vwQwhkpOPPYv2Y/edit?usp=sharing"",""งบพรบ!AK78"")"),3179000)</f>
        <v>3179000</v>
      </c>
      <c r="O67" s="111">
        <f ca="1">IF(L67&gt;0,N67*100/L67,0)</f>
        <v>89.297752808988761</v>
      </c>
      <c r="P67" s="111">
        <f ca="1">IF(M67&gt;0,N67*100/M67,0)</f>
        <v>89.32284349536387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IFERROR(__xludf.DUMMYFUNCTION("IMPORTRANGE(""https://docs.google.com/spreadsheets/d/1ItG2mGa2ceCfYo0BwxsXqNm01IGEUdYcSSLTEv9YCik/edit?usp=sharing"",""เบิกจ่ายกองทุน!BH78"")"),0)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IFERROR(__xludf.DUMMYFUNCTION("IMPORTRANGE(""https://docs.google.com/spreadsheets/d/1ItG2mGa2ceCfYo0BwxsXqNm01IGEUdYcSSLTEv9YCik/edit?usp=sharing"",""เบิกจ่ายกองทุน!BI78"")"),0)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IFERROR(__xludf.DUMMYFUNCTION("IMPORTRANGE(""https://docs.google.com/spreadsheets/d/1ItG2mGa2ceCfYo0BwxsXqNm01IGEUdYcSSLTEv9YCik/edit?usp=sharing"",""เบิกจ่ายกองทุน!BJ78"")"),0)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IFERROR(__xludf.DUMMYFUNCTION("IMPORTRANGE(""https://docs.google.com/spreadsheets/d/1eHaY18a8A9IcSdp1K8H6x8fbOy06t2VsZHhMHf-1x7Y/edit?usp=sharing"",""แผน!H78"")"),0)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IFERROR(__xludf.DUMMYFUNCTION("IMPORTRANGE(""https://docs.google.com/spreadsheets/d/1eHaY18a8A9IcSdp1K8H6x8fbOy06t2VsZHhMHf-1x7Y/edit?usp=sharing"",""แผน!I78"")"),0)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IFERROR(__xludf.DUMMYFUNCTION("IMPORTRANGE(""https://docs.google.com/spreadsheets/d/1eHaY18a8A9IcSdp1K8H6x8fbOy06t2VsZHhMHf-1x7Y/edit?usp=sharing"",""แผน!F78"")"),0)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IFERROR(__xludf.DUMMYFUNCTION("IMPORTRANGE(""https://docs.google.com/spreadsheets/d/1eHaY18a8A9IcSdp1K8H6x8fbOy06t2VsZHhMHf-1x7Y/edit?usp=sharing"",""แผน!G78"")"),0)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IFERROR(__xludf.DUMMYFUNCTION("IMPORTRANGE(""https://docs.google.com/spreadsheets/d/1eHaY18a8A9IcSdp1K8H6x8fbOy06t2VsZHhMHf-1x7Y/edit?usp=sharing"",""แผน!J78"")"),0)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IFERROR(__xludf.DUMMYFUNCTION("IMPORTRANGE(""https://docs.google.com/spreadsheets/d/1ItG2mGa2ceCfYo0BwxsXqNm01IGEUdYcSSLTEv9YCik/edit?usp=sharing"",""เบิกจ่ายกองทุน!AL78"")"),0)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IFERROR(__xludf.DUMMYFUNCTION("IMPORTRANGE(""https://docs.google.com/spreadsheets/d/1eHaY18a8A9IcSdp1K8H6x8fbOy06t2VsZHhMHf-1x7Y/edit?usp=sharing"",""แผน!N78"")"),0)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IFERROR(__xludf.DUMMYFUNCTION("IMPORTRANGE(""https://docs.google.com/spreadsheets/d/1eHaY18a8A9IcSdp1K8H6x8fbOy06t2VsZHhMHf-1x7Y/edit?usp=sharing"",""แผน!O78"")"),0)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IFERROR(__xludf.DUMMYFUNCTION("IMPORTRANGE(""https://docs.google.com/spreadsheets/d/1eHaY18a8A9IcSdp1K8H6x8fbOy06t2VsZHhMHf-1x7Y/edit?usp=sharing"",""แผน!R78"")"),0)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0</v>
      </c>
      <c r="K116" s="35">
        <f ca="1">IF(I116&gt;0,J116*100/I116,0)</f>
        <v>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91436</v>
      </c>
      <c r="T117" s="132">
        <f ca="1">IF(Q117&gt;0,S117*100/Q117,0)</f>
        <v>43.674054260603747</v>
      </c>
      <c r="U117" s="132">
        <f ca="1">IF(R117&gt;0,S117*100/R117,0)</f>
        <v>43.674054260603747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91436</v>
      </c>
      <c r="T119" s="47">
        <f ca="1">IF(Q119&gt;0,S119*100/Q119,0)</f>
        <v>43.674054260603747</v>
      </c>
      <c r="U119" s="47">
        <f ca="1">IF(R119&gt;0,S119*100/R119,0)</f>
        <v>43.674054260603747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91436</v>
      </c>
      <c r="T120" s="47">
        <f ca="1">IF(Q120&gt;0,S120*100/Q120,0)</f>
        <v>43.674054260603747</v>
      </c>
      <c r="U120" s="47">
        <f ca="1">IF(R120&gt;0,S120*100/R120,0)</f>
        <v>43.674054260603747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IFERROR(__xludf.DUMMYFUNCTION("IMPORTRANGE(""https://docs.google.com/spreadsheets/d/1ItG2mGa2ceCfYo0BwxsXqNm01IGEUdYcSSLTEv9YCik/edit?usp=sharing"",""เบิกจ่ายกองทุน!W78"")"),91436)</f>
        <v>91436</v>
      </c>
      <c r="T122" s="47">
        <f ca="1">IF(Q122&gt;0,S122*100/Q122,0)</f>
        <v>43.674054260603747</v>
      </c>
      <c r="U122" s="47">
        <f ca="1">IF(R122&gt;0,S122*100/R122,0)</f>
        <v>43.674054260603747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IFERROR(__xludf.DUMMYFUNCTION("IMPORTRANGE(""https://docs.google.com/spreadsheets/d/1eHaY18a8A9IcSdp1K8H6x8fbOy06t2VsZHhMHf-1x7Y/edit?usp=sharing"",""แผน!FF78"")"),20)</f>
        <v>20</v>
      </c>
      <c r="J127" s="167">
        <v>0</v>
      </c>
      <c r="K127" s="47">
        <f ca="1">IF(I127&gt;0,J127*100/I127,0)</f>
        <v>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IFERROR(__xludf.DUMMYFUNCTION("IMPORTRANGE(""https://docs.google.com/spreadsheets/d/1eHaY18a8A9IcSdp1K8H6x8fbOy06t2VsZHhMHf-1x7Y/edit?usp=sharing"",""แผน!FG78"")"),1)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IFERROR(__xludf.DUMMYFUNCTION("IMPORTRANGE(""https://docs.google.com/spreadsheets/d/1eHaY18a8A9IcSdp1K8H6x8fbOy06t2VsZHhMHf-1x7Y/edit?usp=sharing"",""แผน!FH78"")"),20)</f>
        <v>20</v>
      </c>
      <c r="J129" s="167">
        <v>0</v>
      </c>
      <c r="K129" s="47">
        <f ca="1">IF(I129&gt;0,J129*100/I129,0)</f>
        <v>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IFERROR(__xludf.DUMMYFUNCTION("IMPORTRANGE(""https://docs.google.com/spreadsheets/d/1eHaY18a8A9IcSdp1K8H6x8fbOy06t2VsZHhMHf-1x7Y/edit?usp=sharing"",""แผน!FI78"")"),1)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40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4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135400</v>
      </c>
      <c r="M139" s="132">
        <f ca="1">M140+M141</f>
        <v>130400</v>
      </c>
      <c r="N139" s="132">
        <f ca="1">N140+N141</f>
        <v>72401</v>
      </c>
      <c r="O139" s="132">
        <f ca="1">IF(L139&gt;0,N139*100/L139,0)</f>
        <v>53.471935007385525</v>
      </c>
      <c r="P139" s="132">
        <f ca="1">IF(M139&gt;0,N139*100/M139,0)</f>
        <v>55.522239263803684</v>
      </c>
      <c r="Q139" s="132">
        <f ca="1">Q140+Q141</f>
        <v>44860</v>
      </c>
      <c r="R139" s="132">
        <f ca="1">R140+R141</f>
        <v>44860</v>
      </c>
      <c r="S139" s="132">
        <f ca="1">S140+S141</f>
        <v>26000</v>
      </c>
      <c r="T139" s="132">
        <f ca="1">IF(Q139&gt;0,S139*100/Q139,0)</f>
        <v>57.958091841283995</v>
      </c>
      <c r="U139" s="132">
        <f ca="1">IF(R139&gt;0,S139*100/R139,0)</f>
        <v>57.958091841283995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135400</v>
      </c>
      <c r="M141" s="47">
        <f ca="1">M144+M147</f>
        <v>130400</v>
      </c>
      <c r="N141" s="47">
        <f ca="1">N144+N147</f>
        <v>72401</v>
      </c>
      <c r="O141" s="47">
        <f ca="1">IF(L141&gt;0,N141*100/L141,0)</f>
        <v>53.471935007385525</v>
      </c>
      <c r="P141" s="47">
        <f ca="1">IF(M141&gt;0,N141*100/M141,0)</f>
        <v>55.522239263803684</v>
      </c>
      <c r="Q141" s="47">
        <f ca="1">Q144+Q147</f>
        <v>44860</v>
      </c>
      <c r="R141" s="47">
        <f ca="1">R144+R147</f>
        <v>44860</v>
      </c>
      <c r="S141" s="47">
        <f ca="1">S144+S147</f>
        <v>26000</v>
      </c>
      <c r="T141" s="47">
        <f ca="1">IF(Q141&gt;0,S141*100/Q141,0)</f>
        <v>57.958091841283995</v>
      </c>
      <c r="U141" s="47">
        <f ca="1">IF(R141&gt;0,S141*100/R141,0)</f>
        <v>57.958091841283995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135400</v>
      </c>
      <c r="M142" s="47">
        <f ca="1">M143+M144</f>
        <v>130400</v>
      </c>
      <c r="N142" s="47">
        <f ca="1">N143+N144</f>
        <v>72401</v>
      </c>
      <c r="O142" s="47">
        <f ca="1">IF(L142&gt;0,N142*100/L142,0)</f>
        <v>53.471935007385525</v>
      </c>
      <c r="P142" s="47">
        <f ca="1">IF(M142&gt;0,N142*100/M142,0)</f>
        <v>55.522239263803684</v>
      </c>
      <c r="Q142" s="47">
        <f ca="1">Q143+Q144</f>
        <v>44860</v>
      </c>
      <c r="R142" s="47">
        <f ca="1">R143+R144</f>
        <v>44860</v>
      </c>
      <c r="S142" s="47">
        <f ca="1">S143+S144</f>
        <v>26000</v>
      </c>
      <c r="T142" s="47">
        <f ca="1">IF(Q142&gt;0,S142*100/Q142,0)</f>
        <v>57.958091841283995</v>
      </c>
      <c r="U142" s="47">
        <f ca="1">IF(R142&gt;0,S142*100/R142,0)</f>
        <v>57.958091841283995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IFERROR(__xludf.DUMMYFUNCTION("IMPORTRANGE(""https://docs.google.com/spreadsheets/d/1-uDff_7J0KD5mKrp0Vvzr7lt3OU09vwQwhkpOPPYv2Y/edit?usp=sharing"",""งบพรบ!BX78"")"),72401)</f>
        <v>72401</v>
      </c>
      <c r="O144" s="47">
        <f ca="1">IF(L144&gt;0,N144*100/L144,0)</f>
        <v>53.471935007385525</v>
      </c>
      <c r="P144" s="47">
        <f ca="1">IF(M144&gt;0,N144*100/M144,0)</f>
        <v>55.522239263803684</v>
      </c>
      <c r="Q144" s="47">
        <f ca="1">IFERROR(__xludf.DUMMYFUNCTION("IMPORTRANGE(""https://docs.google.com/spreadsheets/d/1ItG2mGa2ceCfYo0BwxsXqNm01IGEUdYcSSLTEv9YCik/edit?usp=sharing"",""เบิกจ่ายกองทุน!CF78"")"),44860)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IFERROR(__xludf.DUMMYFUNCTION("IMPORTRANGE(""https://docs.google.com/spreadsheets/d/1ItG2mGa2ceCfYo0BwxsXqNm01IGEUdYcSSLTEv9YCik/edit?usp=sharing"",""เบิกจ่ายกองทุน!CG78"")"),44860)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IFERROR(__xludf.DUMMYFUNCTION("IMPORTRANGE(""https://docs.google.com/spreadsheets/d/1ItG2mGa2ceCfYo0BwxsXqNm01IGEUdYcSSLTEv9YCik/edit?usp=sharing"",""เบิกจ่ายกองทุน!CH78"")"),26000)</f>
        <v>26000</v>
      </c>
      <c r="T144" s="47">
        <f ca="1">IF(Q144&gt;0,S144*100/Q144,0)</f>
        <v>57.958091841283995</v>
      </c>
      <c r="U144" s="47">
        <f ca="1">IF(R144&gt;0,S144*100/R144,0)</f>
        <v>57.958091841283995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IFERROR(__xludf.DUMMYFUNCTION("IMPORTRANGE(""https://docs.google.com/spreadsheets/d/1eHaY18a8A9IcSdp1K8H6x8fbOy06t2VsZHhMHf-1x7Y/edit?usp=sharing"",""แผน!W78"")"),40)</f>
        <v>40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IFERROR(__xludf.DUMMYFUNCTION("IMPORTRANGE(""https://docs.google.com/spreadsheets/d/1eHaY18a8A9IcSdp1K8H6x8fbOy06t2VsZHhMHf-1x7Y/edit?usp=sharing"",""แผน!X78"")"),4)</f>
        <v>4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IFERROR(__xludf.DUMMYFUNCTION("IMPORTRANGE(""https://docs.google.com/spreadsheets/d/1eHaY18a8A9IcSdp1K8H6x8fbOy06t2VsZHhMHf-1x7Y/edit?usp=sharing"",""แผน!Z78"")"),0)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IFERROR(__xludf.DUMMYFUNCTION("IMPORTRANGE(""https://docs.google.com/spreadsheets/d/1eHaY18a8A9IcSdp1K8H6x8fbOy06t2VsZHhMHf-1x7Y/edit?usp=sharing"",""แผน!Z78"")"),0)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IFERROR(__xludf.DUMMYFUNCTION("IMPORTRANGE(""https://docs.google.com/spreadsheets/d/1eHaY18a8A9IcSdp1K8H6x8fbOy06t2VsZHhMHf-1x7Y/edit?usp=sharing"",""แผน!Z78"")"),0)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14</v>
      </c>
      <c r="J172" s="214">
        <f>J183+J184</f>
        <v>7</v>
      </c>
      <c r="K172" s="215">
        <f ca="1">IF(I172&gt;0,J172*100/I172,0)</f>
        <v>50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36520</v>
      </c>
      <c r="N173" s="132">
        <f ca="1">N174+N175</f>
        <v>36520</v>
      </c>
      <c r="O173" s="132">
        <f ca="1">IF(L173&gt;0,N173*100/L173,0)</f>
        <v>186.42164369576315</v>
      </c>
      <c r="P173" s="132">
        <f ca="1">IF(M173&gt;0,N173*100/M173,0)</f>
        <v>100</v>
      </c>
      <c r="Q173" s="132">
        <f ca="1">Q174+Q175</f>
        <v>20320</v>
      </c>
      <c r="R173" s="132">
        <f ca="1">R174+R175</f>
        <v>20320</v>
      </c>
      <c r="S173" s="132">
        <f ca="1">S174+S175</f>
        <v>9020</v>
      </c>
      <c r="T173" s="132">
        <f ca="1">IF(Q173&gt;0,S173*100/Q173,0)</f>
        <v>44.389763779527556</v>
      </c>
      <c r="U173" s="132">
        <f ca="1">IF(R173&gt;0,S173*100/R173,0)</f>
        <v>44.389763779527556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36520</v>
      </c>
      <c r="N175" s="47">
        <f ca="1">N178+N181</f>
        <v>36520</v>
      </c>
      <c r="O175" s="47">
        <f ca="1">IF(L175&gt;0,N175*100/L175,0)</f>
        <v>186.42164369576315</v>
      </c>
      <c r="P175" s="47">
        <f ca="1">IF(M175&gt;0,N175*100/M175,0)</f>
        <v>100</v>
      </c>
      <c r="Q175" s="47">
        <f ca="1">Q178+Q181</f>
        <v>20320</v>
      </c>
      <c r="R175" s="47">
        <f ca="1">R178+R181</f>
        <v>20320</v>
      </c>
      <c r="S175" s="47">
        <f ca="1">S178+S181</f>
        <v>9020</v>
      </c>
      <c r="T175" s="47">
        <f ca="1">IF(Q175&gt;0,S175*100/Q175,0)</f>
        <v>44.389763779527556</v>
      </c>
      <c r="U175" s="47">
        <f ca="1">IF(R175&gt;0,S175*100/R175,0)</f>
        <v>44.389763779527556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36520</v>
      </c>
      <c r="N176" s="47">
        <f ca="1">N177+N178</f>
        <v>36520</v>
      </c>
      <c r="O176" s="47">
        <f ca="1">IF(L176&gt;0,N176*100/L176,0)</f>
        <v>186.42164369576315</v>
      </c>
      <c r="P176" s="47">
        <f ca="1">IF(M176&gt;0,N176*100/M176,0)</f>
        <v>100</v>
      </c>
      <c r="Q176" s="47">
        <f ca="1">Q177+Q178</f>
        <v>20320</v>
      </c>
      <c r="R176" s="47">
        <f ca="1">R177+R178</f>
        <v>20320</v>
      </c>
      <c r="S176" s="47">
        <f ca="1">S177+S178</f>
        <v>9020</v>
      </c>
      <c r="T176" s="47">
        <f ca="1">IF(Q176&gt;0,S176*100/Q176,0)</f>
        <v>44.389763779527556</v>
      </c>
      <c r="U176" s="47">
        <f ca="1">IF(R176&gt;0,S176*100/R176,0)</f>
        <v>44.389763779527556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IFERROR(__xludf.DUMMYFUNCTION("IMPORTRANGE(""https://docs.google.com/spreadsheets/d/1-uDff_7J0KD5mKrp0Vvzr7lt3OU09vwQwhkpOPPYv2Y/edit?usp=sharing"",""งบพรบ!CR78"")"),36520)</f>
        <v>36520</v>
      </c>
      <c r="O178" s="47">
        <f ca="1">IF(L178&gt;0,N178*100/L178,0)</f>
        <v>186.42164369576315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IFERROR(__xludf.DUMMYFUNCTION("IMPORTRANGE(""https://docs.google.com/spreadsheets/d/1ItG2mGa2ceCfYo0BwxsXqNm01IGEUdYcSSLTEv9YCik/edit?usp=sharing"",""เบิกจ่ายกองทุน!DG78"")"),20320)</f>
        <v>20320</v>
      </c>
      <c r="R178" s="47">
        <f ca="1">IFERROR(__xludf.DUMMYFUNCTION("IMPORTRANGE(""https://docs.google.com/spreadsheets/d/1ItG2mGa2ceCfYo0BwxsXqNm01IGEUdYcSSLTEv9YCik/edit?usp=sharing"",""เบิกจ่ายกองทุน!DH78"")"),20320)</f>
        <v>20320</v>
      </c>
      <c r="S178" s="47">
        <f ca="1">IFERROR(__xludf.DUMMYFUNCTION("IMPORTRANGE(""https://docs.google.com/spreadsheets/d/1ItG2mGa2ceCfYo0BwxsXqNm01IGEUdYcSSLTEv9YCik/edit?usp=sharing"",""เบิกจ่ายกองทุน!DI78"")"),9020)</f>
        <v>9020</v>
      </c>
      <c r="T178" s="47">
        <f ca="1">IF(Q178&gt;0,S178*100/Q178,0)</f>
        <v>44.389763779527556</v>
      </c>
      <c r="U178" s="47">
        <f ca="1">IF(R178&gt;0,S178*100/R178,0)</f>
        <v>44.389763779527556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IFERROR(__xludf.DUMMYFUNCTION("IMPORTRANGE(""https://docs.google.com/spreadsheets/d/1eHaY18a8A9IcSdp1K8H6x8fbOy06t2VsZHhMHf-1x7Y/edit?usp=sharing"",""แผน!AA78"")"),14)</f>
        <v>14</v>
      </c>
      <c r="J183" s="167">
        <v>7</v>
      </c>
      <c r="K183" s="47">
        <f ca="1">IF(I183&gt;0,J183*100/I183,0)</f>
        <v>50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110</v>
      </c>
      <c r="J185" s="214">
        <f>J230+J231</f>
        <v>43</v>
      </c>
      <c r="K185" s="215">
        <f ca="1">IF(I185&gt;0,J185*100/I185,0)</f>
        <v>39.090909090909093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456100</v>
      </c>
      <c r="M186" s="132">
        <f ca="1">M187+M188</f>
        <v>470000</v>
      </c>
      <c r="N186" s="132">
        <f ca="1">N187+N188</f>
        <v>225624.41</v>
      </c>
      <c r="O186" s="132">
        <f ca="1">IF(L186&gt;0,N186*100/L186,0)</f>
        <v>49.468188993641746</v>
      </c>
      <c r="P186" s="132">
        <f ca="1">IF(M186&gt;0,N186*100/M186,0)</f>
        <v>48.005193617021277</v>
      </c>
      <c r="Q186" s="132">
        <f ca="1">Q187+Q188</f>
        <v>141400</v>
      </c>
      <c r="R186" s="132">
        <f ca="1">R187+R188</f>
        <v>141400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456100</v>
      </c>
      <c r="M188" s="47">
        <f ca="1">M191+M194</f>
        <v>470000</v>
      </c>
      <c r="N188" s="47">
        <f ca="1">N191+N194</f>
        <v>225624.41</v>
      </c>
      <c r="O188" s="47">
        <f ca="1">IF(L188&gt;0,N188*100/L188,0)</f>
        <v>49.468188993641746</v>
      </c>
      <c r="P188" s="47">
        <f ca="1">IF(M188&gt;0,N188*100/M188,0)</f>
        <v>48.005193617021277</v>
      </c>
      <c r="Q188" s="47">
        <f ca="1">Q191+Q194</f>
        <v>141400</v>
      </c>
      <c r="R188" s="47">
        <f ca="1">R191+R194</f>
        <v>141400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456100</v>
      </c>
      <c r="M189" s="47">
        <f ca="1">M190+M191</f>
        <v>470000</v>
      </c>
      <c r="N189" s="47">
        <f ca="1">N190+N191</f>
        <v>225624.41</v>
      </c>
      <c r="O189" s="47">
        <f ca="1">IF(L189&gt;0,N189*100/L189,0)</f>
        <v>49.468188993641746</v>
      </c>
      <c r="P189" s="47">
        <f ca="1">IF(M189&gt;0,N189*100/M189,0)</f>
        <v>48.005193617021277</v>
      </c>
      <c r="Q189" s="47">
        <f ca="1">Q190+Q191</f>
        <v>141400</v>
      </c>
      <c r="R189" s="47">
        <f ca="1">R190+R191</f>
        <v>141400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IFERROR(__xludf.DUMMYFUNCTION("IMPORTRANGE(""https://docs.google.com/spreadsheets/d/1-uDff_7J0KD5mKrp0Vvzr7lt3OU09vwQwhkpOPPYv2Y/edit?usp=sharing"",""งบพรบ!CU78"")"),456100)</f>
        <v>456100</v>
      </c>
      <c r="M191" s="47">
        <f ca="1">IFERROR(__xludf.DUMMYFUNCTION("IMPORTRANGE(""https://docs.google.com/spreadsheets/d/1-uDff_7J0KD5mKrp0Vvzr7lt3OU09vwQwhkpOPPYv2Y/edit?usp=sharing"",""งบพรบ!CZ78"")"),470000)</f>
        <v>470000</v>
      </c>
      <c r="N191" s="47">
        <f ca="1">IFERROR(__xludf.DUMMYFUNCTION("IMPORTRANGE(""https://docs.google.com/spreadsheets/d/1-uDff_7J0KD5mKrp0Vvzr7lt3OU09vwQwhkpOPPYv2Y/edit?usp=sharing"",""งบพรบ!DB78"")"),225624.41)</f>
        <v>225624.41</v>
      </c>
      <c r="O191" s="47">
        <f ca="1">IF(L191&gt;0,N191*100/L191,0)</f>
        <v>49.468188993641746</v>
      </c>
      <c r="P191" s="47">
        <f ca="1">IF(M191&gt;0,N191*100/M191,0)</f>
        <v>48.005193617021277</v>
      </c>
      <c r="Q191" s="47">
        <f ca="1">IFERROR(__xludf.DUMMYFUNCTION("IMPORTRANGE(""https://docs.google.com/spreadsheets/d/1ItG2mGa2ceCfYo0BwxsXqNm01IGEUdYcSSLTEv9YCik/edit?usp=sharing"",""เบิกจ่ายกองทุน!BQ78"")"),141400)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IFERROR(__xludf.DUMMYFUNCTION("IMPORTRANGE(""https://docs.google.com/spreadsheets/d/1ItG2mGa2ceCfYo0BwxsXqNm01IGEUdYcSSLTEv9YCik/edit?usp=sharing"",""เบิกจ่ายกองทุน!BR78"")"),141400)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IFERROR(__xludf.DUMMYFUNCTION("IMPORTRANGE(""https://docs.google.com/spreadsheets/d/1ItG2mGa2ceCfYo0BwxsXqNm01IGEUdYcSSLTEv9YCik/edit?usp=sharing"",""เบิกจ่ายกองทุน!BS78"")"),0)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769">
        <f>940+1000</f>
        <v>1940</v>
      </c>
      <c r="O196" s="132">
        <f ca="1">IF(L196&gt;0,N196*100/L196,0)</f>
        <v>32.333333333333336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IFERROR(__xludf.DUMMYFUNCTION("IMPORTRANGE(""https://docs.google.com/spreadsheets/d/1eHaY18a8A9IcSdp1K8H6x8fbOy06t2VsZHhMHf-1x7Y/edit?usp=sharing"",""แผน!AE78"")"),4)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134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f>50+48+36</f>
        <v>134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20000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42000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IFERROR(__xludf.DUMMYFUNCTION("IMPORTRANGE(""https://docs.google.com/spreadsheets/d/1eHaY18a8A9IcSdp1K8H6x8fbOy06t2VsZHhMHf-1x7Y/edit?usp=sharing"",""แผน!AG78"")"),3000)</f>
        <v>3000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IFERROR(__xludf.DUMMYFUNCTION("IMPORTRANGE(""https://docs.google.com/spreadsheets/d/1eHaY18a8A9IcSdp1K8H6x8fbOy06t2VsZHhMHf-1x7Y/edit?usp=sharing"",""แผน!AH78"")"),0)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IFERROR(__xludf.DUMMYFUNCTION("IMPORTRANGE(""https://docs.google.com/spreadsheets/d/1eHaY18a8A9IcSdp1K8H6x8fbOy06t2VsZHhMHf-1x7Y/edit?usp=sharing"",""แผน!AI78"")"),0)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IFERROR(__xludf.DUMMYFUNCTION("IMPORTRANGE(""https://docs.google.com/spreadsheets/d/1eHaY18a8A9IcSdp1K8H6x8fbOy06t2VsZHhMHf-1x7Y/edit?usp=sharing"",""แผน!AJ78"")"),17000)</f>
        <v>17000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IFERROR(__xludf.DUMMYFUNCTION("IMPORTRANGE(""https://docs.google.com/spreadsheets/d/1eHaY18a8A9IcSdp1K8H6x8fbOy06t2VsZHhMHf-1x7Y/edit?usp=sharing"",""แผน!AK78"")"),3)</f>
        <v>3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2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99400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IFERROR(__xludf.DUMMYFUNCTION("IMPORTRANGE(""https://docs.google.com/spreadsheets/d/1eHaY18a8A9IcSdp1K8H6x8fbOy06t2VsZHhMHf-1x7Y/edit?usp=sharing"",""แผน!AO78"")"),0)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340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IFERROR(__xludf.DUMMYFUNCTION("IMPORTRANGE(""https://docs.google.com/spreadsheets/d/1eHaY18a8A9IcSdp1K8H6x8fbOy06t2VsZHhMHf-1x7Y/edit?usp=sharing"",""แผน!AP78"")"),2)</f>
        <v>2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IFERROR(__xludf.DUMMYFUNCTION("IMPORTRANGE(""https://docs.google.com/spreadsheets/d/1eHaY18a8A9IcSdp1K8H6x8fbOy06t2VsZHhMHf-1x7Y/edit?usp=sharing"",""แผน!AR78"")"),2500)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IFERROR(__xludf.DUMMYFUNCTION("IMPORTRANGE(""https://docs.google.com/spreadsheets/d/1eHaY18a8A9IcSdp1K8H6x8fbOy06t2VsZHhMHf-1x7Y/edit?usp=sharing"",""แผน!AS78"")"),6000)</f>
        <v>6000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IFERROR(__xludf.DUMMYFUNCTION("IMPORTRANGE(""https://docs.google.com/spreadsheets/d/1eHaY18a8A9IcSdp1K8H6x8fbOy06t2VsZHhMHf-1x7Y/edit?usp=sharing"",""แผน!AT78"")"),0)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40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IFERROR(__xludf.DUMMYFUNCTION("IMPORTRANGE(""https://docs.google.com/spreadsheets/d/1eHaY18a8A9IcSdp1K8H6x8fbOy06t2VsZHhMHf-1x7Y/edit?usp=sharing"",""แผน!AV78"")"),50000)</f>
        <v>50000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110</v>
      </c>
      <c r="J231" s="747">
        <f>J242+J253</f>
        <v>43</v>
      </c>
      <c r="K231" s="746">
        <f ca="1">IF(I231&gt;0,J231*100/I231,0)</f>
        <v>39.090909090909093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409600</v>
      </c>
      <c r="M232" s="46"/>
      <c r="N232" s="760">
        <f>N243+N254</f>
        <v>170699.40999999997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343" t="s">
        <v>314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167000</v>
      </c>
      <c r="M233" s="46"/>
      <c r="N233" s="49">
        <f>N244+N255</f>
        <v>12138.4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345" t="s">
        <v>87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10000</v>
      </c>
      <c r="M234" s="46"/>
      <c r="N234" s="49">
        <f>N245+N256</f>
        <v>76700.009999999995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345" t="s">
        <v>88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92600</v>
      </c>
      <c r="M235" s="46"/>
      <c r="N235" s="49">
        <f>N246+N257</f>
        <v>39166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89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140000</v>
      </c>
      <c r="M236" s="46"/>
      <c r="N236" s="49">
        <f>N247+N258</f>
        <v>42695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110</v>
      </c>
      <c r="J238" s="495">
        <f>J249+J260</f>
        <v>43</v>
      </c>
      <c r="K238" s="49">
        <f ca="1">IF(I238&gt;0,J238*100/I238,0)</f>
        <v>39.090909090909093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 ca="1">I251+I262</f>
        <v>40</v>
      </c>
      <c r="J240" s="495">
        <f>J251+J262</f>
        <v>23</v>
      </c>
      <c r="K240" s="49">
        <f ca="1">IF(I240&gt;0,J240*100/I240,0)</f>
        <v>57.5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 ca="1">I252+I263</f>
        <v>6</v>
      </c>
      <c r="J241" s="495">
        <f>J252+J263</f>
        <v>6</v>
      </c>
      <c r="K241" s="49">
        <f ca="1">IF(I241&gt;0,J241*100/I241,0)</f>
        <v>100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872"/>
      <c r="B242" s="871"/>
      <c r="C242" s="870" t="s">
        <v>318</v>
      </c>
      <c r="D242" s="869"/>
      <c r="E242" s="869"/>
      <c r="F242" s="869"/>
      <c r="G242" s="868"/>
      <c r="H242" s="867" t="s">
        <v>35</v>
      </c>
      <c r="I242" s="866">
        <f ca="1">I249</f>
        <v>110</v>
      </c>
      <c r="J242" s="866">
        <f>J249</f>
        <v>43</v>
      </c>
      <c r="K242" s="865">
        <f ca="1">IF(I242&gt;0,J242*100/I242,0)</f>
        <v>39.090909090909093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416"/>
      <c r="B243" s="424"/>
      <c r="C243" s="386" t="s">
        <v>18</v>
      </c>
      <c r="D243" s="418" t="s">
        <v>19</v>
      </c>
      <c r="E243" s="424"/>
      <c r="F243" s="424"/>
      <c r="G243" s="425"/>
      <c r="H243" s="419" t="s">
        <v>14</v>
      </c>
      <c r="I243" s="428"/>
      <c r="J243" s="428"/>
      <c r="K243" s="429"/>
      <c r="L243" s="550">
        <f ca="1">L244+L245+L246+L247</f>
        <v>409600</v>
      </c>
      <c r="M243" s="46"/>
      <c r="N243" s="132">
        <f>N244+N245+N246+N247</f>
        <v>170699.40999999997</v>
      </c>
      <c r="O243" s="132">
        <f ca="1">IF(L243&gt;0,N243*100/L243,0)</f>
        <v>41.674660644531244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416"/>
      <c r="B244" s="326"/>
      <c r="C244" s="424"/>
      <c r="D244" s="862" t="s">
        <v>314</v>
      </c>
      <c r="E244" s="424"/>
      <c r="F244" s="424"/>
      <c r="G244" s="425"/>
      <c r="H244" s="426" t="s">
        <v>14</v>
      </c>
      <c r="I244" s="428"/>
      <c r="J244" s="428"/>
      <c r="K244" s="429"/>
      <c r="L244" s="548">
        <f ca="1">IFERROR(__xludf.DUMMYFUNCTION("IMPORTRANGE(""https://docs.google.com/spreadsheets/d/1eHaY18a8A9IcSdp1K8H6x8fbOy06t2VsZHhMHf-1x7Y/edit?usp=sharing"",""แผน!AX78"")"),167000)</f>
        <v>167000</v>
      </c>
      <c r="M244" s="46"/>
      <c r="N244" s="743">
        <f>360+1740+1240+1360+1240+3338.4+1120+1740</f>
        <v>12138.4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617"/>
      <c r="B245" s="326"/>
      <c r="C245" s="326"/>
      <c r="D245" s="218" t="s">
        <v>313</v>
      </c>
      <c r="E245" s="424"/>
      <c r="F245" s="424"/>
      <c r="G245" s="425"/>
      <c r="H245" s="426" t="s">
        <v>14</v>
      </c>
      <c r="I245" s="420"/>
      <c r="J245" s="420"/>
      <c r="K245" s="332"/>
      <c r="L245" s="548">
        <f ca="1">IFERROR(__xludf.DUMMYFUNCTION("IMPORTRANGE(""https://docs.google.com/spreadsheets/d/1eHaY18a8A9IcSdp1K8H6x8fbOy06t2VsZHhMHf-1x7Y/edit?usp=sharing"",""แผน!AY78"")"),10000)</f>
        <v>10000</v>
      </c>
      <c r="M245" s="46"/>
      <c r="N245" s="743">
        <f>13000+12133.34+13000+13000+13000+12566.67</f>
        <v>76700.009999999995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617"/>
      <c r="B246" s="326"/>
      <c r="C246" s="326"/>
      <c r="D246" s="218" t="s">
        <v>88</v>
      </c>
      <c r="E246" s="424"/>
      <c r="F246" s="424"/>
      <c r="G246" s="425"/>
      <c r="H246" s="426" t="s">
        <v>14</v>
      </c>
      <c r="I246" s="420"/>
      <c r="J246" s="420"/>
      <c r="K246" s="332"/>
      <c r="L246" s="548">
        <f ca="1">IFERROR(__xludf.DUMMYFUNCTION("IMPORTRANGE(""https://docs.google.com/spreadsheets/d/1eHaY18a8A9IcSdp1K8H6x8fbOy06t2VsZHhMHf-1x7Y/edit?usp=sharing"",""แผน!AZ78"")"),92600)</f>
        <v>92600</v>
      </c>
      <c r="M246" s="46"/>
      <c r="N246" s="743">
        <v>39166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617"/>
      <c r="B247" s="326"/>
      <c r="C247" s="326"/>
      <c r="D247" s="48" t="s">
        <v>89</v>
      </c>
      <c r="E247" s="424"/>
      <c r="F247" s="424"/>
      <c r="G247" s="425"/>
      <c r="H247" s="426" t="s">
        <v>14</v>
      </c>
      <c r="I247" s="420"/>
      <c r="J247" s="420"/>
      <c r="K247" s="332"/>
      <c r="L247" s="548">
        <f ca="1">IFERROR(__xludf.DUMMYFUNCTION("IMPORTRANGE(""https://docs.google.com/spreadsheets/d/1eHaY18a8A9IcSdp1K8H6x8fbOy06t2VsZHhMHf-1x7Y/edit?usp=sharing"",""แผน!BA78"")"),140000)</f>
        <v>140000</v>
      </c>
      <c r="M247" s="46"/>
      <c r="N247" s="743">
        <f>4875+19170+11650+7000</f>
        <v>42695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432"/>
      <c r="B248" s="433"/>
      <c r="C248" s="386" t="s">
        <v>18</v>
      </c>
      <c r="D248" s="618" t="s">
        <v>38</v>
      </c>
      <c r="E248" s="435"/>
      <c r="F248" s="435"/>
      <c r="G248" s="436"/>
      <c r="H248" s="439"/>
      <c r="I248" s="428"/>
      <c r="J248" s="420"/>
      <c r="K248" s="332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432"/>
      <c r="B249" s="433"/>
      <c r="C249" s="433"/>
      <c r="D249" s="555" t="s">
        <v>108</v>
      </c>
      <c r="E249" s="422"/>
      <c r="F249" s="422"/>
      <c r="G249" s="439"/>
      <c r="H249" s="863" t="s">
        <v>35</v>
      </c>
      <c r="I249" s="330">
        <f ca="1">IFERROR(__xludf.DUMMYFUNCTION("IMPORTRANGE(""https://docs.google.com/spreadsheets/d/1eHaY18a8A9IcSdp1K8H6x8fbOy06t2VsZHhMHf-1x7Y/edit?usp=sharing"",""แผน!BG78"")"),110)</f>
        <v>110</v>
      </c>
      <c r="J249" s="554">
        <v>43</v>
      </c>
      <c r="K249" s="331">
        <f ca="1">IF(I249&gt;0,J249*100/I249,0)</f>
        <v>39.090909090909093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432"/>
      <c r="B250" s="433"/>
      <c r="C250" s="433"/>
      <c r="D250" s="864" t="s">
        <v>43</v>
      </c>
      <c r="E250" s="422"/>
      <c r="F250" s="422"/>
      <c r="G250" s="439"/>
      <c r="H250" s="439"/>
      <c r="I250" s="420"/>
      <c r="J250" s="420"/>
      <c r="K250" s="332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432"/>
      <c r="B251" s="433"/>
      <c r="C251" s="433"/>
      <c r="D251" s="433"/>
      <c r="E251" s="320" t="s">
        <v>109</v>
      </c>
      <c r="F251" s="422"/>
      <c r="G251" s="439"/>
      <c r="H251" s="863" t="s">
        <v>35</v>
      </c>
      <c r="I251" s="330">
        <f ca="1">IFERROR(__xludf.DUMMYFUNCTION("IMPORTRANGE(""https://docs.google.com/spreadsheets/d/1eHaY18a8A9IcSdp1K8H6x8fbOy06t2VsZHhMHf-1x7Y/edit?usp=sharing"",""แผน!KR78"")"),40)</f>
        <v>40</v>
      </c>
      <c r="J251" s="554">
        <v>23</v>
      </c>
      <c r="K251" s="331">
        <f ca="1">IF(I251&gt;0,J251*100/I251,0)</f>
        <v>57.5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432"/>
      <c r="B252" s="433"/>
      <c r="C252" s="433"/>
      <c r="D252" s="433"/>
      <c r="E252" s="320" t="s">
        <v>110</v>
      </c>
      <c r="F252" s="422"/>
      <c r="G252" s="439"/>
      <c r="H252" s="863" t="s">
        <v>61</v>
      </c>
      <c r="I252" s="330">
        <f ca="1">IFERROR(__xludf.DUMMYFUNCTION("IMPORTRANGE(""https://docs.google.com/spreadsheets/d/1eHaY18a8A9IcSdp1K8H6x8fbOy06t2VsZHhMHf-1x7Y/edit?usp=sharing"",""แผน!KS78"")"),6)</f>
        <v>6</v>
      </c>
      <c r="J252" s="554">
        <v>6</v>
      </c>
      <c r="K252" s="331">
        <f ca="1">IF(I252&gt;0,J252*100/I252,0)</f>
        <v>100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862" t="s">
        <v>314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IFERROR(__xludf.DUMMYFUNCTION("IMPORTRANGE(""https://docs.google.com/spreadsheets/d/1eHaY18a8A9IcSdp1K8H6x8fbOy06t2VsZHhMHf-1x7Y/edit?usp=sharing"",""แผน!BB78"")"),0)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218" t="s">
        <v>87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IFERROR(__xludf.DUMMYFUNCTION("IMPORTRANGE(""https://docs.google.com/spreadsheets/d/1eHaY18a8A9IcSdp1K8H6x8fbOy06t2VsZHhMHf-1x7Y/edit?usp=sharing"",""แผน!BC78"")"),0)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218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IFERROR(__xludf.DUMMYFUNCTION("IMPORTRANGE(""https://docs.google.com/spreadsheets/d/1eHaY18a8A9IcSdp1K8H6x8fbOy06t2VsZHhMHf-1x7Y/edit?usp=sharing"",""แผน!BD78"")"),0)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48" t="s">
        <v>89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IFERROR(__xludf.DUMMYFUNCTION("IMPORTRANGE(""https://docs.google.com/spreadsheets/d/1eHaY18a8A9IcSdp1K8H6x8fbOy06t2VsZHhMHf-1x7Y/edit?usp=sharing"",""แผน!BE78"")"),0)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IFERROR(__xludf.DUMMYFUNCTION("IMPORTRANGE(""https://docs.google.com/spreadsheets/d/1eHaY18a8A9IcSdp1K8H6x8fbOy06t2VsZHhMHf-1x7Y/edit?usp=sharing"",""แผน!BH78"")"),0)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24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4770</v>
      </c>
      <c r="O266" s="421">
        <f ca="1">IF(L266&gt;0,N266*100/L266,0)</f>
        <v>95.4</v>
      </c>
      <c r="P266" s="421">
        <f ca="1">IF(M266&gt;0,N266*100/M266,0)</f>
        <v>95.4</v>
      </c>
      <c r="Q266" s="421">
        <f ca="1">Q267+Q268</f>
        <v>53440</v>
      </c>
      <c r="R266" s="421">
        <f ca="1">R267+R268</f>
        <v>53440</v>
      </c>
      <c r="S266" s="421">
        <f ca="1">S267+S268</f>
        <v>44528</v>
      </c>
      <c r="T266" s="421">
        <f ca="1">IF(Q266&gt;0,S266*100/Q266,0)</f>
        <v>83.323353293413177</v>
      </c>
      <c r="U266" s="421">
        <f ca="1">IF(R266&gt;0,S266*100/R266,0)</f>
        <v>83.323353293413177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4770</v>
      </c>
      <c r="O268" s="331">
        <f ca="1">IF(L268&gt;0,N268*100/L268,0)</f>
        <v>95.4</v>
      </c>
      <c r="P268" s="331">
        <f ca="1">IF(M268&gt;0,N268*100/M268,0)</f>
        <v>95.4</v>
      </c>
      <c r="Q268" s="331">
        <f ca="1">Q271+Q274</f>
        <v>53440</v>
      </c>
      <c r="R268" s="331">
        <f ca="1">R271+R274</f>
        <v>53440</v>
      </c>
      <c r="S268" s="331">
        <f ca="1">S271+S274</f>
        <v>44528</v>
      </c>
      <c r="T268" s="331">
        <f ca="1">IF(Q268&gt;0,S268*100/Q268,0)</f>
        <v>83.323353293413177</v>
      </c>
      <c r="U268" s="331">
        <f ca="1">IF(R268&gt;0,S268*100/R268,0)</f>
        <v>83.323353293413177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4770</v>
      </c>
      <c r="O269" s="331">
        <f ca="1">IF(L269&gt;0,N269*100/L269,0)</f>
        <v>95.4</v>
      </c>
      <c r="P269" s="331">
        <f ca="1">IF(M269&gt;0,N269*100/M269,0)</f>
        <v>95.4</v>
      </c>
      <c r="Q269" s="331">
        <f ca="1">Q270+Q271</f>
        <v>53440</v>
      </c>
      <c r="R269" s="331">
        <f ca="1">R270+R271</f>
        <v>53440</v>
      </c>
      <c r="S269" s="331">
        <f ca="1">S270+S271</f>
        <v>44528</v>
      </c>
      <c r="T269" s="331">
        <f ca="1">IF(Q269&gt;0,S269*100/Q269,0)</f>
        <v>83.323353293413177</v>
      </c>
      <c r="U269" s="331">
        <f ca="1">IF(R269&gt;0,S269*100/R269,0)</f>
        <v>83.323353293413177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IFERROR(__xludf.DUMMYFUNCTION("IMPORTRANGE(""https://docs.google.com/spreadsheets/d/1-uDff_7J0KD5mKrp0Vvzr7lt3OU09vwQwhkpOPPYv2Y/edit?usp=sharing"",""งบพรบ!DE78"")"),5000)</f>
        <v>5000</v>
      </c>
      <c r="M271" s="331">
        <f ca="1">IFERROR(__xludf.DUMMYFUNCTION("IMPORTRANGE(""https://docs.google.com/spreadsheets/d/1-uDff_7J0KD5mKrp0Vvzr7lt3OU09vwQwhkpOPPYv2Y/edit?usp=sharing"",""งบพรบ!DJ78"")"),5000)</f>
        <v>5000</v>
      </c>
      <c r="N271" s="331">
        <f ca="1">IFERROR(__xludf.DUMMYFUNCTION("IMPORTRANGE(""https://docs.google.com/spreadsheets/d/1-uDff_7J0KD5mKrp0Vvzr7lt3OU09vwQwhkpOPPYv2Y/edit?usp=sharing"",""งบพรบ!DL78"")"),4770)</f>
        <v>4770</v>
      </c>
      <c r="O271" s="331">
        <f ca="1">IF(L271&gt;0,N271*100/L271,0)</f>
        <v>95.4</v>
      </c>
      <c r="P271" s="331">
        <f ca="1">IF(M271&gt;0,N271*100/M271,0)</f>
        <v>95.4</v>
      </c>
      <c r="Q271" s="331">
        <f ca="1">IFERROR(__xludf.DUMMYFUNCTION("IMPORTRANGE(""https://docs.google.com/spreadsheets/d/1ItG2mGa2ceCfYo0BwxsXqNm01IGEUdYcSSLTEv9YCik/edit?usp=sharing"",""เบิกจ่ายกองทุน!AP78"")"),53440)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IFERROR(__xludf.DUMMYFUNCTION("IMPORTRANGE(""https://docs.google.com/spreadsheets/d/1ItG2mGa2ceCfYo0BwxsXqNm01IGEUdYcSSLTEv9YCik/edit?usp=sharing"",""เบิกจ่ายกองทุน!AQ78"")"),53440)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IFERROR(__xludf.DUMMYFUNCTION("IMPORTRANGE(""https://docs.google.com/spreadsheets/d/1ItG2mGa2ceCfYo0BwxsXqNm01IGEUdYcSSLTEv9YCik/edit?usp=sharing"",""เบิกจ่ายกองทุน!AR78"")"),44528)</f>
        <v>44528</v>
      </c>
      <c r="T271" s="331">
        <f ca="1">IF(Q271&gt;0,S271*100/Q271,0)</f>
        <v>83.323353293413177</v>
      </c>
      <c r="U271" s="331">
        <f ca="1">IF(R271&gt;0,S271*100/R271,0)</f>
        <v>83.323353293413177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IFERROR(__xludf.DUMMYFUNCTION("IMPORTRANGE(""https://docs.google.com/spreadsheets/d/1-uDff_7J0KD5mKrp0Vvzr7lt3OU09vwQwhkpOPPYv2Y/edit?usp=sharing"",""งบพรบ!DH78"")"),0)</f>
        <v>0</v>
      </c>
      <c r="M274" s="331">
        <f ca="1">IFERROR(__xludf.DUMMYFUNCTION("IMPORTRANGE(""https://docs.google.com/spreadsheets/d/1-uDff_7J0KD5mKrp0Vvzr7lt3OU09vwQwhkpOPPYv2Y/edit?usp=sharing"",""งบพรบ!DK78"")"),0)</f>
        <v>0</v>
      </c>
      <c r="N274" s="331">
        <f ca="1">IFERROR(__xludf.DUMMYFUNCTION("IMPORTRANGE(""https://docs.google.com/spreadsheets/d/1-uDff_7J0KD5mKrp0Vvzr7lt3OU09vwQwhkpOPPYv2Y/edit?usp=sharing"",""งบพรบ!DM78"")"),0)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IFERROR(__xludf.DUMMYFUNCTION("IMPORTRANGE(""https://docs.google.com/spreadsheets/d/1eHaY18a8A9IcSdp1K8H6x8fbOy06t2VsZHhMHf-1x7Y/edit?usp=sharing"",""แผน!EC78"")"),24)</f>
        <v>24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IFERROR(__xludf.DUMMYFUNCTION("IMPORTRANGE(""https://docs.google.com/spreadsheets/d/1eHaY18a8A9IcSdp1K8H6x8fbOy06t2VsZHhMHf-1x7Y/edit?usp=sharing"",""แผน!EE78"")"),0)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IFERROR(__xludf.DUMMYFUNCTION("IMPORTRANGE(""https://docs.google.com/spreadsheets/d/1eHaY18a8A9IcSdp1K8H6x8fbOy06t2VsZHhMHf-1x7Y/edit?usp=sharing"",""แผน!ED78"")"),0)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IFERROR(__xludf.DUMMYFUNCTION("IMPORTRANGE(""https://docs.google.com/spreadsheets/d/1eHaY18a8A9IcSdp1K8H6x8fbOy06t2VsZHhMHf-1x7Y/edit?usp=sharing"",""แผน!ED78"")"),0)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IFERROR(__xludf.DUMMYFUNCTION("IMPORTRANGE(""https://docs.google.com/spreadsheets/d/1ItG2mGa2ceCfYo0BwxsXqNm01IGEUdYcSSLTEv9YCik/edit?usp=sharing"",""เบิกจ่ายกองทุน!BC78"")"),260958)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IFERROR(__xludf.DUMMYFUNCTION("IMPORTRANGE(""https://docs.google.com/spreadsheets/d/1ItG2mGa2ceCfYo0BwxsXqNm01IGEUdYcSSLTEv9YCik/edit?usp=sharing"",""เบิกจ่ายกองทุน!BD78"")"),0)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IFERROR(__xludf.DUMMYFUNCTION("IMPORTRANGE(""https://docs.google.com/spreadsheets/d/1eHaY18a8A9IcSdp1K8H6x8fbOy06t2VsZHhMHf-1x7Y/edit?usp=sharing"",""แผน!EF78"")"),30)</f>
        <v>30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IFERROR(__xludf.DUMMYFUNCTION("IMPORTRANGE(""https://docs.google.com/spreadsheets/d/1eHaY18a8A9IcSdp1K8H6x8fbOy06t2VsZHhMHf-1x7Y/edit?usp=sharing"",""แผน!EJ78"")"),0)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1060</v>
      </c>
      <c r="J332" s="697">
        <f ca="1">J344+J347+J348+J349+J353</f>
        <v>8449</v>
      </c>
      <c r="K332" s="696">
        <f ca="1">IF(I332&gt;0,J332*100/I332,0)</f>
        <v>797.07547169811323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189000</v>
      </c>
      <c r="M333" s="132">
        <f ca="1">M334+M335</f>
        <v>240175</v>
      </c>
      <c r="N333" s="132">
        <f ca="1">N334+N335</f>
        <v>177279.98</v>
      </c>
      <c r="O333" s="132">
        <f ca="1">IF(L333&gt;0,N333*100/L333,0)</f>
        <v>93.798931216931223</v>
      </c>
      <c r="P333" s="132">
        <f ca="1">IF(M333&gt;0,N333*100/M333,0)</f>
        <v>73.812836473404815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189000</v>
      </c>
      <c r="M335" s="47">
        <f ca="1">M338+M341</f>
        <v>240175</v>
      </c>
      <c r="N335" s="47">
        <f ca="1">N338+N341</f>
        <v>177279.98</v>
      </c>
      <c r="O335" s="47">
        <f ca="1">IF(L335&gt;0,N335*100/L335,0)</f>
        <v>93.798931216931223</v>
      </c>
      <c r="P335" s="47">
        <f ca="1">IF(M335&gt;0,N335*100/M335,0)</f>
        <v>73.812836473404815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189000</v>
      </c>
      <c r="M336" s="47">
        <f ca="1">M337+M338</f>
        <v>240175</v>
      </c>
      <c r="N336" s="47">
        <f ca="1">N337+N338</f>
        <v>177279.98</v>
      </c>
      <c r="O336" s="47">
        <f ca="1">IF(L336&gt;0,N336*100/L336,0)</f>
        <v>93.798931216931223</v>
      </c>
      <c r="P336" s="47">
        <f ca="1">IF(M336&gt;0,N336*100/M336,0)</f>
        <v>73.812836473404815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IFERROR(__xludf.DUMMYFUNCTION("IMPORTRANGE(""https://docs.google.com/spreadsheets/d/1-uDff_7J0KD5mKrp0Vvzr7lt3OU09vwQwhkpOPPYv2Y/edit?usp=sharing"",""งบพรบ!ES78"")"),189000)</f>
        <v>189000</v>
      </c>
      <c r="M338" s="47">
        <f ca="1">IFERROR(__xludf.DUMMYFUNCTION("IMPORTRANGE(""https://docs.google.com/spreadsheets/d/1-uDff_7J0KD5mKrp0Vvzr7lt3OU09vwQwhkpOPPYv2Y/edit?usp=sharing"",""งบพรบ!EX78"")"),240175)</f>
        <v>240175</v>
      </c>
      <c r="N338" s="47">
        <f ca="1">IFERROR(__xludf.DUMMYFUNCTION("IMPORTRANGE(""https://docs.google.com/spreadsheets/d/1-uDff_7J0KD5mKrp0Vvzr7lt3OU09vwQwhkpOPPYv2Y/edit?usp=sharing"",""งบพรบ!EZ78"")"),177279.98)</f>
        <v>177279.98</v>
      </c>
      <c r="O338" s="47">
        <f ca="1">IF(L338&gt;0,N338*100/L338,0)</f>
        <v>93.798931216931223</v>
      </c>
      <c r="P338" s="47">
        <f ca="1">IF(M338&gt;0,N338*100/M338,0)</f>
        <v>73.812836473404815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2940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IFERROR(__xludf.DUMMYFUNCTION("IMPORTRANGE(""https://docs.google.com/spreadsheets/d/1eHaY18a8A9IcSdp1K8H6x8fbOy06t2VsZHhMHf-1x7Y/edit?usp=sharing"",""แผน!EK78"")"),1060)</f>
        <v>1060</v>
      </c>
      <c r="J344" s="152">
        <f ca="1">IFERROR(__xludf.DUMMYFUNCTION("IMPORTRANGE(""https://docs.google.com/spreadsheets/d/1awYsYK3VOup2i3Pq_Yjnu8DRu_mYwSBnCR2QPthd0rU/edit?usp=sharing"",""ศูนย์ยกเว้นโฉนด!D78"")"),2935)</f>
        <v>2935</v>
      </c>
      <c r="K344" s="47">
        <f ca="1">IF(I344&gt;0,J344*100/I344,0)</f>
        <v>276.88679245283021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IFERROR(__xludf.DUMMYFUNCTION("IMPORTRANGE(""https://docs.google.com/spreadsheets/d/1eHaY18a8A9IcSdp1K8H6x8fbOy06t2VsZHhMHf-1x7Y/edit?usp=sharing"",""แผน!EL78"")"),5)</f>
        <v>5</v>
      </c>
      <c r="J346" s="152">
        <f ca="1">IFERROR(__xludf.DUMMYFUNCTION("IMPORTRANGE(""https://docs.google.com/spreadsheets/d/1awYsYK3VOup2i3Pq_Yjnu8DRu_mYwSBnCR2QPthd0rU/edit?usp=sharing"",""ศูนย์รวม!E78"")"),8)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IFERROR(__xludf.DUMMYFUNCTION("IMPORTRANGE(""https://docs.google.com/spreadsheets/d/1awYsYK3VOup2i3Pq_Yjnu8DRu_mYwSBnCR2QPthd0rU/edit?usp=sharing"",""ศูนย์ยกเว้นโฉนด!G78"")"),3)</f>
        <v>3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7548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IFERROR(__xludf.DUMMYFUNCTION("IMPORTRANGE(""https://docs.google.com/spreadsheets/d/1awYsYK3VOup2i3Pq_Yjnu8DRu_mYwSBnCR2QPthd0rU/edit?usp=sharing"",""โฉนดM3!G78"")"),2039)</f>
        <v>2039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IFERROR(__xludf.DUMMYFUNCTION("IMPORTRANGE(""https://docs.google.com/spreadsheets/d/1awYsYK3VOup2i3Pq_Yjnu8DRu_mYwSBnCR2QPthd0rU/edit?usp=sharing"",""โฉนดM3!H78"")"),5509)</f>
        <v>5509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745130</v>
      </c>
      <c r="M356" s="132">
        <f ca="1">M357+M358</f>
        <v>810730</v>
      </c>
      <c r="N356" s="132">
        <f ca="1">N357+N358</f>
        <v>705104.16</v>
      </c>
      <c r="O356" s="132">
        <f ca="1">IF(L356&gt;0,N356*100/L356,0)</f>
        <v>94.628341363252048</v>
      </c>
      <c r="P356" s="132">
        <f ca="1">IF(M356&gt;0,N356*100/M356,0)</f>
        <v>86.971514560951235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745130</v>
      </c>
      <c r="M358" s="47">
        <f ca="1">M361+M364</f>
        <v>810730</v>
      </c>
      <c r="N358" s="47">
        <f ca="1">N361+N364</f>
        <v>705104.16</v>
      </c>
      <c r="O358" s="47">
        <f ca="1">IF(L358&gt;0,N358*100/L358,0)</f>
        <v>94.628341363252048</v>
      </c>
      <c r="P358" s="47">
        <f ca="1">IF(M358&gt;0,N358*100/M358,0)</f>
        <v>86.971514560951235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745130</v>
      </c>
      <c r="M359" s="47">
        <f ca="1">M360+M361</f>
        <v>810730</v>
      </c>
      <c r="N359" s="47">
        <f ca="1">N360+N361</f>
        <v>705104.16</v>
      </c>
      <c r="O359" s="47">
        <f ca="1">IF(L359&gt;0,N359*100/L359,0)</f>
        <v>94.628341363252048</v>
      </c>
      <c r="P359" s="47">
        <f ca="1">IF(M359&gt;0,N359*100/M359,0)</f>
        <v>86.971514560951235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IFERROR(__xludf.DUMMYFUNCTION("IMPORTRANGE(""https://docs.google.com/spreadsheets/d/1-uDff_7J0KD5mKrp0Vvzr7lt3OU09vwQwhkpOPPYv2Y/edit?usp=sharing"",""งบพรบ!FC78"")"),745130)</f>
        <v>745130</v>
      </c>
      <c r="M361" s="47">
        <f ca="1">IFERROR(__xludf.DUMMYFUNCTION("IMPORTRANGE(""https://docs.google.com/spreadsheets/d/1-uDff_7J0KD5mKrp0Vvzr7lt3OU09vwQwhkpOPPYv2Y/edit?usp=sharing"",""งบพรบ!FH78"")"),810730)</f>
        <v>810730</v>
      </c>
      <c r="N361" s="47">
        <f ca="1">IFERROR(__xludf.DUMMYFUNCTION("IMPORTRANGE(""https://docs.google.com/spreadsheets/d/1-uDff_7J0KD5mKrp0Vvzr7lt3OU09vwQwhkpOPPYv2Y/edit?usp=sharing"",""งบพรบ!FJ78"")"),705104.16)</f>
        <v>705104.16</v>
      </c>
      <c r="O361" s="47">
        <f ca="1">IF(L361&gt;0,N361*100/L361,0)</f>
        <v>94.628341363252048</v>
      </c>
      <c r="P361" s="47">
        <f ca="1">IF(M361&gt;0,N361*100/M361,0)</f>
        <v>86.971514560951235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827</v>
      </c>
      <c r="J365" s="228">
        <f ca="1">J371</f>
        <v>323</v>
      </c>
      <c r="K365" s="229">
        <f ca="1">IF(I365&gt;0,J365*100/I365,0)</f>
        <v>39.056831922611849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IFERROR(__xludf.DUMMYFUNCTION("IMPORTRANGE(""https://docs.google.com/spreadsheets/d/1tdoBKaGub7dwA3U6UFTqxio9LNnvDCQjHKmttSEBsFQ/edit?usp=sharing"",""จัดที่ดิน!AB78"")"),396)</f>
        <v>396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IFERROR(__xludf.DUMMYFUNCTION("IMPORTRANGE(""https://docs.google.com/spreadsheets/d/1eHaY18a8A9IcSdp1K8H6x8fbOy06t2VsZHhMHf-1x7Y/edit?usp=sharing"",""แผน!EW78"")"),1890)</f>
        <v>1890</v>
      </c>
      <c r="J368" s="685">
        <f ca="1">IFERROR(__xludf.DUMMYFUNCTION("IMPORTRANGE(""https://docs.google.com/spreadsheets/d/1tdoBKaGub7dwA3U6UFTqxio9LNnvDCQjHKmttSEBsFQ/edit?usp=sharing"",""จัดที่ดิน!AC78"")"),2714.83999999999)</f>
        <v>2714.8399999999901</v>
      </c>
      <c r="K368" s="47">
        <f ca="1">IF(I368&gt;0,J368*100/I368,0)</f>
        <v>143.64232804232751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IFERROR(__xludf.DUMMYFUNCTION("IMPORTRANGE(""https://docs.google.com/spreadsheets/d/1eHaY18a8A9IcSdp1K8H6x8fbOy06t2VsZHhMHf-1x7Y/edit?usp=sharing"",""แผน!EX78"")"),827)</f>
        <v>827</v>
      </c>
      <c r="J369" s="152">
        <f ca="1">IFERROR(__xludf.DUMMYFUNCTION("IMPORTRANGE(""https://docs.google.com/spreadsheets/d/1tdoBKaGub7dwA3U6UFTqxio9LNnvDCQjHKmttSEBsFQ/edit?usp=sharing"",""จัดที่ดิน!AD78"")"),724)</f>
        <v>724</v>
      </c>
      <c r="K369" s="47">
        <f ca="1">IF(I369&gt;0,J369*100/I369,0)</f>
        <v>87.545344619105194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IFERROR(__xludf.DUMMYFUNCTION("IMPORTRANGE(""https://docs.google.com/spreadsheets/d/1tdoBKaGub7dwA3U6UFTqxio9LNnvDCQjHKmttSEBsFQ/edit?usp=sharing"",""จัดที่ดิน!AE78"")"),6234.01)</f>
        <v>6234.01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IFERROR(__xludf.DUMMYFUNCTION("IMPORTRANGE(""https://docs.google.com/spreadsheets/d/1eHaY18a8A9IcSdp1K8H6x8fbOy06t2VsZHhMHf-1x7Y/edit?usp=sharing"",""แผน!EY78"")"),827)</f>
        <v>827</v>
      </c>
      <c r="J371" s="152">
        <f ca="1">IFERROR(__xludf.DUMMYFUNCTION("IMPORTRANGE(""https://docs.google.com/spreadsheets/d/1tdoBKaGub7dwA3U6UFTqxio9LNnvDCQjHKmttSEBsFQ/edit?usp=sharing"",""จัดที่ดิน!AF78"")"),323)</f>
        <v>323</v>
      </c>
      <c r="K371" s="47">
        <f ca="1">IF(I371&gt;0,J371*100/I371,0)</f>
        <v>39.056831922611849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IFERROR(__xludf.DUMMYFUNCTION("IMPORTRANGE(""https://docs.google.com/spreadsheets/d/1tdoBKaGub7dwA3U6UFTqxio9LNnvDCQjHKmttSEBsFQ/edit?usp=sharing"",""จัดที่ดิน!AG78"")"),3286.01)</f>
        <v>3286.01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9900</v>
      </c>
      <c r="T375" s="132">
        <f ca="1">IF(Q375&gt;0,S375*100/Q375,0)</f>
        <v>15.84</v>
      </c>
      <c r="U375" s="132">
        <f ca="1">IF(R375&gt;0,S375*100/R375,0)</f>
        <v>15.84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9900</v>
      </c>
      <c r="T377" s="47">
        <f ca="1">IF(Q377&gt;0,S377*100/Q377,0)</f>
        <v>15.84</v>
      </c>
      <c r="U377" s="47">
        <f ca="1">IF(R377&gt;0,S377*100/R377,0)</f>
        <v>15.84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9900</v>
      </c>
      <c r="T378" s="47">
        <f ca="1">IF(Q378&gt;0,S378*100/Q378,0)</f>
        <v>15.84</v>
      </c>
      <c r="U378" s="47">
        <f ca="1">IF(R378&gt;0,S378*100/R378,0)</f>
        <v>15.84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IFERROR(__xludf.DUMMYFUNCTION("IMPORTRANGE(""https://docs.google.com/spreadsheets/d/1-uDff_7J0KD5mKrp0Vvzr7lt3OU09vwQwhkpOPPYv2Y/edit?usp=sharing"",""งบพรบ!IE78"")"),0)</f>
        <v>0</v>
      </c>
      <c r="M380" s="47">
        <f ca="1">IFERROR(__xludf.DUMMYFUNCTION("IMPORTRANGE(""https://docs.google.com/spreadsheets/d/1-uDff_7J0KD5mKrp0Vvzr7lt3OU09vwQwhkpOPPYv2Y/edit?usp=sharing"",""งบพรบ!IJ78"")"),0)</f>
        <v>0</v>
      </c>
      <c r="N380" s="47">
        <f ca="1">IFERROR(__xludf.DUMMYFUNCTION("IMPORTRANGE(""https://docs.google.com/spreadsheets/d/1-uDff_7J0KD5mKrp0Vvzr7lt3OU09vwQwhkpOPPYv2Y/edit?usp=sharing"",""งบพรบ!IL78"")"),0)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IFERROR(__xludf.DUMMYFUNCTION("IMPORTRANGE(""https://docs.google.com/spreadsheets/d/1ItG2mGa2ceCfYo0BwxsXqNm01IGEUdYcSSLTEv9YCik/edit?usp=sharing"",""เบิกจ่ายกองทุน!BY78"")"),9900)</f>
        <v>9900</v>
      </c>
      <c r="T380" s="47">
        <f ca="1">IF(Q380&gt;0,S380*100/Q380,0)</f>
        <v>15.84</v>
      </c>
      <c r="U380" s="47">
        <f ca="1">IF(R380&gt;0,S380*100/R380,0)</f>
        <v>15.84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IFERROR(__xludf.DUMMYFUNCTION("IMPORTRANGE(""https://docs.google.com/spreadsheets/d/1-uDff_7J0KD5mKrp0Vvzr7lt3OU09vwQwhkpOPPYv2Y/edit?usp=sharing"",""งบพรบ!IH78"")"),0)</f>
        <v>0</v>
      </c>
      <c r="M383" s="47">
        <f ca="1">IFERROR(__xludf.DUMMYFUNCTION("IMPORTRANGE(""https://docs.google.com/spreadsheets/d/1-uDff_7J0KD5mKrp0Vvzr7lt3OU09vwQwhkpOPPYv2Y/edit?usp=sharing"",""งบพรบ!IK78"")"),0)</f>
        <v>0</v>
      </c>
      <c r="N383" s="47">
        <f ca="1">IFERROR(__xludf.DUMMYFUNCTION("IMPORTRANGE(""https://docs.google.com/spreadsheets/d/1-uDff_7J0KD5mKrp0Vvzr7lt3OU09vwQwhkpOPPYv2Y/edit?usp=sharing"",""งบพรบ!IM78"")"),0)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IFERROR(__xludf.DUMMYFUNCTION("IMPORTRANGE(""https://docs.google.com/spreadsheets/d/1w5rwWK1o49a35cNtocGL0gxDwhFSTZUQu90BiH9_zqM/edit?usp=sharing"",""RTK!G78"")"),1000)</f>
        <v>1000</v>
      </c>
      <c r="J386" s="152">
        <f ca="1">IFERROR(__xludf.DUMMYFUNCTION("IMPORTRANGE(""https://docs.google.com/spreadsheets/d/1w5rwWK1o49a35cNtocGL0gxDwhFSTZUQu90BiH9_zqM/edit?usp=sharing"",""RTK!I78"")"),0)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IFERROR(__xludf.DUMMYFUNCTION("IMPORTRANGE(""https://docs.google.com/spreadsheets/d/1w5rwWK1o49a35cNtocGL0gxDwhFSTZUQu90BiH9_zqM/edit?usp=sharing"",""RTK!K78"")"),0)</f>
        <v>0</v>
      </c>
      <c r="J388" s="330">
        <f ca="1">IFERROR(__xludf.DUMMYFUNCTION("IMPORTRANGE(""https://docs.google.com/spreadsheets/d/1w5rwWK1o49a35cNtocGL0gxDwhFSTZUQu90BiH9_zqM/edit?usp=sharing"",""RTK!M78"")"),0)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24960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309640</v>
      </c>
      <c r="M413" s="132">
        <f ca="1">M414+M415</f>
        <v>523338</v>
      </c>
      <c r="N413" s="132">
        <f ca="1">N414+N415</f>
        <v>234261.33</v>
      </c>
      <c r="O413" s="132">
        <f ca="1">IF(L413&gt;0,N413*100/L413,0)</f>
        <v>75.656029582741255</v>
      </c>
      <c r="P413" s="132">
        <f ca="1">IF(M413&gt;0,N413*100/M413,0)</f>
        <v>44.76291230524059</v>
      </c>
      <c r="Q413" s="132">
        <f ca="1">Q414+Q415</f>
        <v>67200</v>
      </c>
      <c r="R413" s="132">
        <f ca="1">R414+R415</f>
        <v>67200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309640</v>
      </c>
      <c r="M415" s="47">
        <f ca="1">M418+M421</f>
        <v>523338</v>
      </c>
      <c r="N415" s="47">
        <f ca="1">N418+N421</f>
        <v>234261.33</v>
      </c>
      <c r="O415" s="47">
        <f ca="1">IF(L415&gt;0,N415*100/L415,0)</f>
        <v>75.656029582741255</v>
      </c>
      <c r="P415" s="47">
        <f ca="1">IF(M415&gt;0,N415*100/M415,0)</f>
        <v>44.76291230524059</v>
      </c>
      <c r="Q415" s="47">
        <f ca="1">Q418+Q421</f>
        <v>67200</v>
      </c>
      <c r="R415" s="47">
        <f ca="1">R418+R421</f>
        <v>67200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309640</v>
      </c>
      <c r="M416" s="47">
        <f ca="1">M417+M418</f>
        <v>523338</v>
      </c>
      <c r="N416" s="47">
        <f ca="1">N417+N418</f>
        <v>234261.33</v>
      </c>
      <c r="O416" s="47">
        <f ca="1">IF(L416&gt;0,N416*100/L416,0)</f>
        <v>75.656029582741255</v>
      </c>
      <c r="P416" s="47">
        <f ca="1">IF(M416&gt;0,N416*100/M416,0)</f>
        <v>44.76291230524059</v>
      </c>
      <c r="Q416" s="47">
        <f ca="1">Q417+Q418</f>
        <v>67200</v>
      </c>
      <c r="R416" s="47">
        <f ca="1">R417+R418</f>
        <v>67200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IFERROR(__xludf.DUMMYFUNCTION("IMPORTRANGE(""https://docs.google.com/spreadsheets/d/1-uDff_7J0KD5mKrp0Vvzr7lt3OU09vwQwhkpOPPYv2Y/edit?usp=sharing"",""งบพรบ!IO78"")"),309640)</f>
        <v>309640</v>
      </c>
      <c r="M418" s="47">
        <f ca="1">IFERROR(__xludf.DUMMYFUNCTION("IMPORTRANGE(""https://docs.google.com/spreadsheets/d/1-uDff_7J0KD5mKrp0Vvzr7lt3OU09vwQwhkpOPPYv2Y/edit?usp=sharing"",""งบพรบ!IT78"")"),523338)</f>
        <v>523338</v>
      </c>
      <c r="N418" s="47">
        <f ca="1">IFERROR(__xludf.DUMMYFUNCTION("IMPORTRANGE(""https://docs.google.com/spreadsheets/d/1-uDff_7J0KD5mKrp0Vvzr7lt3OU09vwQwhkpOPPYv2Y/edit?usp=sharing"",""งบพรบ!IV78"")"),234261.33)</f>
        <v>234261.33</v>
      </c>
      <c r="O418" s="47">
        <f ca="1">IF(L418&gt;0,N418*100/L418,0)</f>
        <v>75.656029582741255</v>
      </c>
      <c r="P418" s="47">
        <f ca="1">IF(M418&gt;0,N418*100/M418,0)</f>
        <v>44.76291230524059</v>
      </c>
      <c r="Q418" s="47">
        <f ca="1">IFERROR(__xludf.DUMMYFUNCTION("IMPORTRANGE(""https://docs.google.com/spreadsheets/d/1ItG2mGa2ceCfYo0BwxsXqNm01IGEUdYcSSLTEv9YCik/edit?usp=sharing"",""เบิกจ่ายกองทุน!BZ78"")"),67200)</f>
        <v>67200</v>
      </c>
      <c r="R418" s="47">
        <f ca="1">IFERROR(__xludf.DUMMYFUNCTION("IMPORTRANGE(""https://docs.google.com/spreadsheets/d/1ItG2mGa2ceCfYo0BwxsXqNm01IGEUdYcSSLTEv9YCik/edit?usp=sharing"",""เบิกจ่ายกองทุน!CA78"")"),67200)</f>
        <v>67200</v>
      </c>
      <c r="S418" s="47">
        <f ca="1">IFERROR(__xludf.DUMMYFUNCTION("IMPORTRANGE(""https://docs.google.com/spreadsheets/d/1ItG2mGa2ceCfYo0BwxsXqNm01IGEUdYcSSLTEv9YCik/edit?usp=sharing"",""เบิกจ่ายกองทุน!CB78"")"),0)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IFERROR(__xludf.DUMMYFUNCTION("IMPORTRANGE(""https://docs.google.com/spreadsheets/d/1-uDff_7J0KD5mKrp0Vvzr7lt3OU09vwQwhkpOPPYv2Y/edit?usp=sharing"",""งบพรบ!IR78"")"),0)</f>
        <v>0</v>
      </c>
      <c r="M421" s="47">
        <f ca="1">IFERROR(__xludf.DUMMYFUNCTION("IMPORTRANGE(""https://docs.google.com/spreadsheets/d/1-uDff_7J0KD5mKrp0Vvzr7lt3OU09vwQwhkpOPPYv2Y/edit?usp=sharing"",""งบพรบ!IU78"")"),0)</f>
        <v>0</v>
      </c>
      <c r="N421" s="47">
        <f ca="1">IFERROR(__xludf.DUMMYFUNCTION("IMPORTRANGE(""https://docs.google.com/spreadsheets/d/1-uDff_7J0KD5mKrp0Vvzr7lt3OU09vwQwhkpOPPYv2Y/edit?usp=sharing"",""งบพรบ!IW78"")"),0)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24960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IFERROR(__xludf.DUMMYFUNCTION("IMPORTRANGE(""https://docs.google.com/spreadsheets/d/1eHaY18a8A9IcSdp1K8H6x8fbOy06t2VsZHhMHf-1x7Y/edit?usp=sharing"",""แผน!HJ78"")"),24960)</f>
        <v>24960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IFERROR(__xludf.DUMMYFUNCTION("IMPORTRANGE(""https://docs.google.com/spreadsheets/d/1eHaY18a8A9IcSdp1K8H6x8fbOy06t2VsZHhMHf-1x7Y/edit?usp=sharing"",""แผน!HK78"")"),2753)</f>
        <v>2753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IFERROR(__xludf.DUMMYFUNCTION("IMPORTRANGE(""https://docs.google.com/spreadsheets/d/1eHaY18a8A9IcSdp1K8H6x8fbOy06t2VsZHhMHf-1x7Y/edit?usp=sharing"",""แผน!HJ78"")"),24960)</f>
        <v>24960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IFERROR(__xludf.DUMMYFUNCTION("IMPORTRANGE(""https://docs.google.com/spreadsheets/d/1eHaY18a8A9IcSdp1K8H6x8fbOy06t2VsZHhMHf-1x7Y/edit?usp=sharing"",""แผน!HK78"")"),2753)</f>
        <v>2753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IFERROR(__xludf.DUMMYFUNCTION("IMPORTRANGE(""https://docs.google.com/spreadsheets/d/1eHaY18a8A9IcSdp1K8H6x8fbOy06t2VsZHhMHf-1x7Y/edit?usp=sharing"",""แผน!HJ78"")"),24960)</f>
        <v>24960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IFERROR(__xludf.DUMMYFUNCTION("IMPORTRANGE(""https://docs.google.com/spreadsheets/d/1eHaY18a8A9IcSdp1K8H6x8fbOy06t2VsZHhMHf-1x7Y/edit?usp=sharing"",""แผน!HK78"")"),2753)</f>
        <v>2753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192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IFERROR(__xludf.DUMMYFUNCTION("IMPORTRANGE(""https://docs.google.com/spreadsheets/d/1eHaY18a8A9IcSdp1K8H6x8fbOy06t2VsZHhMHf-1x7Y/edit?usp=sharing"",""แผน!HL78"")"),192)</f>
        <v>192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IFERROR(__xludf.DUMMYFUNCTION("IMPORTRANGE(""https://docs.google.com/spreadsheets/d/1eHaY18a8A9IcSdp1K8H6x8fbOy06t2VsZHhMHf-1x7Y/edit?usp=sharing"",""แผน!HM78"")"),0)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IFERROR(__xludf.DUMMYFUNCTION("IMPORTRANGE(""https://docs.google.com/spreadsheets/d/1-uDff_7J0KD5mKrp0Vvzr7lt3OU09vwQwhkpOPPYv2Y/edit?usp=sharing"",""งบพรบ!HU78"")"),0)</f>
        <v>0</v>
      </c>
      <c r="M498" s="47">
        <f ca="1">IFERROR(__xludf.DUMMYFUNCTION("IMPORTRANGE(""https://docs.google.com/spreadsheets/d/1-uDff_7J0KD5mKrp0Vvzr7lt3OU09vwQwhkpOPPYv2Y/edit?usp=sharing"",""งบพรบ!HZ78"")"),0)</f>
        <v>0</v>
      </c>
      <c r="N498" s="47">
        <f ca="1">IFERROR(__xludf.DUMMYFUNCTION("IMPORTRANGE(""https://docs.google.com/spreadsheets/d/1-uDff_7J0KD5mKrp0Vvzr7lt3OU09vwQwhkpOPPYv2Y/edit?usp=sharing"",""งบพรบ!IB78"")"),0)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IFERROR(__xludf.DUMMYFUNCTION("IMPORTRANGE(""https://docs.google.com/spreadsheets/d/1ItG2mGa2ceCfYo0BwxsXqNm01IGEUdYcSSLTEv9YCik/edit?usp=sharing"",""เบิกจ่ายกองทุน!AF78"")"),0)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IFERROR(__xludf.DUMMYFUNCTION("IMPORTRANGE(""https://docs.google.com/spreadsheets/d/1-uDff_7J0KD5mKrp0Vvzr7lt3OU09vwQwhkpOPPYv2Y/edit?usp=sharing"",""งบพรบ!HX78"")"),0)</f>
        <v>0</v>
      </c>
      <c r="M501" s="47">
        <f ca="1">IFERROR(__xludf.DUMMYFUNCTION("IMPORTRANGE(""https://docs.google.com/spreadsheets/d/1-uDff_7J0KD5mKrp0Vvzr7lt3OU09vwQwhkpOPPYv2Y/edit?usp=sharing"",""งบพรบ!IA78"")"),0)</f>
        <v>0</v>
      </c>
      <c r="N501" s="47">
        <f ca="1">IFERROR(__xludf.DUMMYFUNCTION("IMPORTRANGE(""https://docs.google.com/spreadsheets/d/1-uDff_7J0KD5mKrp0Vvzr7lt3OU09vwQwhkpOPPYv2Y/edit?usp=sharing"",""งบพรบ!IC78"")"),0)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IFERROR(__xludf.DUMMYFUNCTION("IMPORTRANGE(""https://docs.google.com/spreadsheets/d/1eHaY18a8A9IcSdp1K8H6x8fbOy06t2VsZHhMHf-1x7Y/edit?usp=sharing"",""แผน!GX78"")"),0)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IFERROR(__xludf.DUMMYFUNCTION("IMPORTRANGE(""https://docs.google.com/spreadsheets/d/1eHaY18a8A9IcSdp1K8H6x8fbOy06t2VsZHhMHf-1x7Y/edit?usp=sharing"",""แผน!GY78"")"),0)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IFERROR(__xludf.DUMMYFUNCTION("IMPORTRANGE(""https://docs.google.com/spreadsheets/d/1eHaY18a8A9IcSdp1K8H6x8fbOy06t2VsZHhMHf-1x7Y/edit?usp=sharing"",""แผน!GZ78"")"),0)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IFERROR(__xludf.DUMMYFUNCTION("IMPORTRANGE(""https://docs.google.com/spreadsheets/d/1eHaY18a8A9IcSdp1K8H6x8fbOy06t2VsZHhMHf-1x7Y/edit?usp=sharing"",""แผน!HA78"")"),0)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IFERROR(__xludf.DUMMYFUNCTION("IMPORTRANGE(""https://docs.google.com/spreadsheets/d/1eHaY18a8A9IcSdp1K8H6x8fbOy06t2VsZHhMHf-1x7Y/edit?usp=sharing"",""แผน!HB78"")"),0)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IFERROR(__xludf.DUMMYFUNCTION("IMPORTRANGE(""https://docs.google.com/spreadsheets/d/1-uDff_7J0KD5mKrp0Vvzr7lt3OU09vwQwhkpOPPYv2Y/edit?usp=sharing"",""งบพรบ!FW78"")"),0)</f>
        <v>0</v>
      </c>
      <c r="M539" s="47">
        <f ca="1">IFERROR(__xludf.DUMMYFUNCTION("IMPORTRANGE(""https://docs.google.com/spreadsheets/d/1-uDff_7J0KD5mKrp0Vvzr7lt3OU09vwQwhkpOPPYv2Y/edit?usp=sharing"",""งบพรบ!GB78"")"),0)</f>
        <v>0</v>
      </c>
      <c r="N539" s="47">
        <f ca="1">IFERROR(__xludf.DUMMYFUNCTION("IMPORTRANGE(""https://docs.google.com/spreadsheets/d/1-uDff_7J0KD5mKrp0Vvzr7lt3OU09vwQwhkpOPPYv2Y/edit?usp=sharing"",""งบพรบ!GD78"")"),0)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IFERROR(__xludf.DUMMYFUNCTION("IMPORTRANGE(""https://docs.google.com/spreadsheets/d/1-uDff_7J0KD5mKrp0Vvzr7lt3OU09vwQwhkpOPPYv2Y/edit?usp=sharing"",""งบพรบ!FZ78"")"),0)</f>
        <v>0</v>
      </c>
      <c r="M542" s="47">
        <f ca="1">IFERROR(__xludf.DUMMYFUNCTION("IMPORTRANGE(""https://docs.google.com/spreadsheets/d/1-uDff_7J0KD5mKrp0Vvzr7lt3OU09vwQwhkpOPPYv2Y/edit?usp=sharing"",""งบพรบ!GC78"")"),0)</f>
        <v>0</v>
      </c>
      <c r="N542" s="47">
        <f ca="1">IFERROR(__xludf.DUMMYFUNCTION("IMPORTRANGE(""https://docs.google.com/spreadsheets/d/1-uDff_7J0KD5mKrp0Vvzr7lt3OU09vwQwhkpOPPYv2Y/edit?usp=sharing"",""งบพรบ!GE78"")"),0)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IFERROR(__xludf.DUMMYFUNCTION("IMPORTRANGE(""https://docs.google.com/spreadsheets/d/1-uDff_7J0KD5mKrp0Vvzr7lt3OU09vwQwhkpOPPYv2Y/edit?usp=sharing"",""งบพรบ!GG78"")"),0)</f>
        <v>0</v>
      </c>
      <c r="M560" s="47">
        <f ca="1">IFERROR(__xludf.DUMMYFUNCTION("IMPORTRANGE(""https://docs.google.com/spreadsheets/d/1-uDff_7J0KD5mKrp0Vvzr7lt3OU09vwQwhkpOPPYv2Y/edit?usp=sharing"",""งบพรบ!GL78"")"),0)</f>
        <v>0</v>
      </c>
      <c r="N560" s="47">
        <f ca="1">IFERROR(__xludf.DUMMYFUNCTION("IMPORTRANGE(""https://docs.google.com/spreadsheets/d/1-uDff_7J0KD5mKrp0Vvzr7lt3OU09vwQwhkpOPPYv2Y/edit?usp=sharing"",""งบพรบ!GN78"")"),0)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IFERROR(__xludf.DUMMYFUNCTION("IMPORTRANGE(""https://docs.google.com/spreadsheets/d/1-uDff_7J0KD5mKrp0Vvzr7lt3OU09vwQwhkpOPPYv2Y/edit?usp=sharing"",""งบพรบ!GJ78"")"),0)</f>
        <v>0</v>
      </c>
      <c r="M563" s="47">
        <f ca="1">IFERROR(__xludf.DUMMYFUNCTION("IMPORTRANGE(""https://docs.google.com/spreadsheets/d/1-uDff_7J0KD5mKrp0Vvzr7lt3OU09vwQwhkpOPPYv2Y/edit?usp=sharing"",""งบพรบ!GM78"")"),0)</f>
        <v>0</v>
      </c>
      <c r="N563" s="47">
        <f ca="1">IFERROR(__xludf.DUMMYFUNCTION("IMPORTRANGE(""https://docs.google.com/spreadsheets/d/1-uDff_7J0KD5mKrp0Vvzr7lt3OU09vwQwhkpOPPYv2Y/edit?usp=sharing"",""งบพรบ!GO78"")"),0)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16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796469</v>
      </c>
      <c r="M576" s="132">
        <f ca="1">M577+M578</f>
        <v>796469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796469</v>
      </c>
      <c r="M578" s="47">
        <f ca="1">M581+M584</f>
        <v>796469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796469</v>
      </c>
      <c r="M579" s="47">
        <f ca="1">M580+M581</f>
        <v>796469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IFERROR(__xludf.DUMMYFUNCTION("IMPORTRANGE(""https://docs.google.com/spreadsheets/d/1-uDff_7J0KD5mKrp0Vvzr7lt3OU09vwQwhkpOPPYv2Y/edit?usp=sharing"",""งบพรบ!GQ78"")"),796469)</f>
        <v>796469</v>
      </c>
      <c r="M581" s="47">
        <f ca="1">IFERROR(__xludf.DUMMYFUNCTION("IMPORTRANGE(""https://docs.google.com/spreadsheets/d/1-uDff_7J0KD5mKrp0Vvzr7lt3OU09vwQwhkpOPPYv2Y/edit?usp=sharing"",""งบพรบ!GV78"")"),796469)</f>
        <v>796469</v>
      </c>
      <c r="N581" s="47">
        <f ca="1">IFERROR(__xludf.DUMMYFUNCTION("IMPORTRANGE(""https://docs.google.com/spreadsheets/d/1-uDff_7J0KD5mKrp0Vvzr7lt3OU09vwQwhkpOPPYv2Y/edit?usp=sharing"",""งบพรบ!GX78"")"),0)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IFERROR(__xludf.DUMMYFUNCTION("IMPORTRANGE(""https://docs.google.com/spreadsheets/d/1-uDff_7J0KD5mKrp0Vvzr7lt3OU09vwQwhkpOPPYv2Y/edit?usp=sharing"",""งบพรบ!GT78"")"),0)</f>
        <v>0</v>
      </c>
      <c r="M584" s="47">
        <f ca="1">IFERROR(__xludf.DUMMYFUNCTION("IMPORTRANGE(""https://docs.google.com/spreadsheets/d/1-uDff_7J0KD5mKrp0Vvzr7lt3OU09vwQwhkpOPPYv2Y/edit?usp=sharing"",""งบพรบ!GW78"")"),0)</f>
        <v>0</v>
      </c>
      <c r="N584" s="47">
        <f ca="1">IFERROR(__xludf.DUMMYFUNCTION("IMPORTRANGE(""https://docs.google.com/spreadsheets/d/1-uDff_7J0KD5mKrp0Vvzr7lt3OU09vwQwhkpOPPYv2Y/edit?usp=sharing"",""งบพรบ!GY78"")"),0)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16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861"/>
      <c r="B588" s="860"/>
      <c r="C588" s="860"/>
      <c r="D588" s="859"/>
      <c r="E588" s="859"/>
      <c r="F588" s="859"/>
      <c r="G588" s="858"/>
      <c r="H588" s="857"/>
      <c r="I588" s="856"/>
      <c r="J588" s="856"/>
      <c r="K588" s="854"/>
      <c r="L588" s="855"/>
      <c r="M588" s="854"/>
      <c r="N588" s="854"/>
      <c r="O588" s="854"/>
      <c r="P588" s="854"/>
      <c r="Q588" s="854"/>
      <c r="R588" s="854"/>
      <c r="S588" s="854"/>
      <c r="T588" s="854"/>
      <c r="U588" s="854"/>
    </row>
    <row r="589" spans="1:21" ht="12.75" hidden="1" x14ac:dyDescent="0.2">
      <c r="A589" s="861"/>
      <c r="B589" s="860"/>
      <c r="C589" s="860"/>
      <c r="D589" s="859"/>
      <c r="E589" s="859"/>
      <c r="F589" s="859"/>
      <c r="G589" s="858"/>
      <c r="H589" s="857"/>
      <c r="I589" s="856"/>
      <c r="J589" s="856"/>
      <c r="K589" s="854"/>
      <c r="L589" s="855"/>
      <c r="M589" s="854"/>
      <c r="N589" s="854"/>
      <c r="O589" s="854"/>
      <c r="P589" s="854"/>
      <c r="Q589" s="854"/>
      <c r="R589" s="854"/>
      <c r="S589" s="854"/>
      <c r="T589" s="854"/>
      <c r="U589" s="854"/>
    </row>
    <row r="590" spans="1:21" ht="12.75" hidden="1" x14ac:dyDescent="0.2">
      <c r="A590" s="861"/>
      <c r="B590" s="860"/>
      <c r="C590" s="860"/>
      <c r="D590" s="859"/>
      <c r="E590" s="859"/>
      <c r="F590" s="859"/>
      <c r="G590" s="858"/>
      <c r="H590" s="857"/>
      <c r="I590" s="856"/>
      <c r="J590" s="856"/>
      <c r="K590" s="854"/>
      <c r="L590" s="855"/>
      <c r="M590" s="854"/>
      <c r="N590" s="854"/>
      <c r="O590" s="854"/>
      <c r="P590" s="854"/>
      <c r="Q590" s="854"/>
      <c r="R590" s="854"/>
      <c r="S590" s="854"/>
      <c r="T590" s="854"/>
      <c r="U590" s="854"/>
    </row>
    <row r="591" spans="1:21" ht="12.75" hidden="1" x14ac:dyDescent="0.2">
      <c r="A591" s="861"/>
      <c r="B591" s="860"/>
      <c r="C591" s="860"/>
      <c r="D591" s="859"/>
      <c r="E591" s="859"/>
      <c r="F591" s="859"/>
      <c r="G591" s="858"/>
      <c r="H591" s="857"/>
      <c r="I591" s="856"/>
      <c r="J591" s="856"/>
      <c r="K591" s="854"/>
      <c r="L591" s="855"/>
      <c r="M591" s="854"/>
      <c r="N591" s="854"/>
      <c r="O591" s="854"/>
      <c r="P591" s="854"/>
      <c r="Q591" s="854"/>
      <c r="R591" s="854"/>
      <c r="S591" s="854"/>
      <c r="T591" s="854"/>
      <c r="U591" s="854"/>
    </row>
    <row r="592" spans="1:21" ht="12.75" hidden="1" x14ac:dyDescent="0.2">
      <c r="A592" s="861"/>
      <c r="B592" s="860"/>
      <c r="C592" s="860"/>
      <c r="D592" s="859"/>
      <c r="E592" s="859"/>
      <c r="F592" s="859"/>
      <c r="G592" s="858"/>
      <c r="H592" s="857"/>
      <c r="I592" s="856"/>
      <c r="J592" s="856"/>
      <c r="K592" s="854"/>
      <c r="L592" s="855"/>
      <c r="M592" s="854"/>
      <c r="N592" s="854"/>
      <c r="O592" s="854"/>
      <c r="P592" s="854"/>
      <c r="Q592" s="854"/>
      <c r="R592" s="854"/>
      <c r="S592" s="854"/>
      <c r="T592" s="854"/>
      <c r="U592" s="854"/>
    </row>
    <row r="593" spans="1:21" ht="12.75" hidden="1" x14ac:dyDescent="0.2">
      <c r="A593" s="861"/>
      <c r="B593" s="860"/>
      <c r="C593" s="860"/>
      <c r="D593" s="859"/>
      <c r="E593" s="859"/>
      <c r="F593" s="859"/>
      <c r="G593" s="858"/>
      <c r="H593" s="857"/>
      <c r="I593" s="856"/>
      <c r="J593" s="856"/>
      <c r="K593" s="854"/>
      <c r="L593" s="855"/>
      <c r="M593" s="854"/>
      <c r="N593" s="854"/>
      <c r="O593" s="854"/>
      <c r="P593" s="854"/>
      <c r="Q593" s="854"/>
      <c r="R593" s="854"/>
      <c r="S593" s="854"/>
      <c r="T593" s="854"/>
      <c r="U593" s="854"/>
    </row>
    <row r="594" spans="1:21" ht="12.75" hidden="1" x14ac:dyDescent="0.2">
      <c r="A594" s="861"/>
      <c r="B594" s="860"/>
      <c r="C594" s="860"/>
      <c r="D594" s="859"/>
      <c r="E594" s="859"/>
      <c r="F594" s="859"/>
      <c r="G594" s="858"/>
      <c r="H594" s="857"/>
      <c r="I594" s="856"/>
      <c r="J594" s="856"/>
      <c r="K594" s="854"/>
      <c r="L594" s="855"/>
      <c r="M594" s="854"/>
      <c r="N594" s="854"/>
      <c r="O594" s="854"/>
      <c r="P594" s="854"/>
      <c r="Q594" s="854"/>
      <c r="R594" s="854"/>
      <c r="S594" s="854"/>
      <c r="T594" s="854"/>
      <c r="U594" s="854"/>
    </row>
    <row r="595" spans="1:21" ht="12.75" hidden="1" x14ac:dyDescent="0.2">
      <c r="A595" s="853"/>
      <c r="B595" s="852"/>
      <c r="C595" s="852"/>
      <c r="D595" s="851"/>
      <c r="E595" s="851"/>
      <c r="F595" s="851"/>
      <c r="G595" s="850"/>
      <c r="H595" s="849"/>
      <c r="I595" s="848"/>
      <c r="J595" s="848"/>
      <c r="K595" s="846"/>
      <c r="L595" s="847"/>
      <c r="M595" s="846"/>
      <c r="N595" s="846"/>
      <c r="O595" s="846"/>
      <c r="P595" s="846"/>
      <c r="Q595" s="846"/>
      <c r="R595" s="846"/>
      <c r="S595" s="846"/>
      <c r="T595" s="846"/>
      <c r="U595" s="84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13068</v>
      </c>
      <c r="M599" s="421">
        <f ca="1">M600+M601</f>
        <v>13068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13068</v>
      </c>
      <c r="M601" s="331">
        <f ca="1">M604+M607</f>
        <v>13068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13068</v>
      </c>
      <c r="M602" s="331">
        <f ca="1">M603+M604</f>
        <v>13068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IFERROR(__xludf.DUMMYFUNCTION("IMPORTRANGE(""https://docs.google.com/spreadsheets/d/1-uDff_7J0KD5mKrp0Vvzr7lt3OU09vwQwhkpOPPYv2Y/edit?usp=sharing"",""งบพรบ!HK78"")"),13068)</f>
        <v>13068</v>
      </c>
      <c r="M604" s="331">
        <f ca="1">IFERROR(__xludf.DUMMYFUNCTION("IMPORTRANGE(""https://docs.google.com/spreadsheets/d/1-uDff_7J0KD5mKrp0Vvzr7lt3OU09vwQwhkpOPPYv2Y/edit?usp=sharing"",""งบพรบ!HP78"")"),13068)</f>
        <v>13068</v>
      </c>
      <c r="N604" s="331">
        <f ca="1">IFERROR(__xludf.DUMMYFUNCTION("IMPORTRANGE(""https://docs.google.com/spreadsheets/d/1-uDff_7J0KD5mKrp0Vvzr7lt3OU09vwQwhkpOPPYv2Y/edit?usp=sharing"",""งบพรบ!HR78"")"),0)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IFERROR(__xludf.DUMMYFUNCTION("IMPORTRANGE(""https://docs.google.com/spreadsheets/d/1ItG2mGa2ceCfYo0BwxsXqNm01IGEUdYcSSLTEv9YCik/edit?usp=sharing"",""เบิกจ่ายกองทุน!AV78"")"),0)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IFERROR(__xludf.DUMMYFUNCTION("IMPORTRANGE(""https://docs.google.com/spreadsheets/d/1ItG2mGa2ceCfYo0BwxsXqNm01IGEUdYcSSLTEv9YCik/edit?usp=sharing"",""เบิกจ่ายกองทุน!AW78"")"),0)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IFERROR(__xludf.DUMMYFUNCTION("IMPORTRANGE(""https://docs.google.com/spreadsheets/d/1ItG2mGa2ceCfYo0BwxsXqNm01IGEUdYcSSLTEv9YCik/edit?usp=sharing"",""เบิกจ่ายกองทุน!AX78"")"),0)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IFERROR(__xludf.DUMMYFUNCTION("IMPORTRANGE(""https://docs.google.com/spreadsheets/d/1-uDff_7J0KD5mKrp0Vvzr7lt3OU09vwQwhkpOPPYv2Y/edit?usp=sharing"",""งบพรบ!HN78"")"),0)</f>
        <v>0</v>
      </c>
      <c r="M607" s="331">
        <f ca="1">IFERROR(__xludf.DUMMYFUNCTION("IMPORTRANGE(""https://docs.google.com/spreadsheets/d/1-uDff_7J0KD5mKrp0Vvzr7lt3OU09vwQwhkpOPPYv2Y/edit?usp=sharing"",""งบพรบ!HQ78"")"),0)</f>
        <v>0</v>
      </c>
      <c r="N607" s="331">
        <f ca="1">IFERROR(__xludf.DUMMYFUNCTION("IMPORTRANGE(""https://docs.google.com/spreadsheets/d/1-uDff_7J0KD5mKrp0Vvzr7lt3OU09vwQwhkpOPPYv2Y/edit?usp=sharing"",""งบพรบ!HS78"")"),0)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IFERROR(__xludf.DUMMYFUNCTION("IMPORTRANGE(""https://docs.google.com/spreadsheets/d/1ItG2mGa2ceCfYo0BwxsXqNm01IGEUdYcSSLTEv9YCik/edit?usp=sharing"",""เบิกจ่ายกองทุน!AY78"")"),0)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IFERROR(__xludf.DUMMYFUNCTION("IMPORTRANGE(""https://docs.google.com/spreadsheets/d/1ItG2mGa2ceCfYo0BwxsXqNm01IGEUdYcSSLTEv9YCik/edit?usp=sharing"",""เบิกจ่ายกองทุน!AZ78"")"),0)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IFERROR(__xludf.DUMMYFUNCTION("IMPORTRANGE(""https://docs.google.com/spreadsheets/d/1ItG2mGa2ceCfYo0BwxsXqNm01IGEUdYcSSLTEv9YCik/edit?usp=sharing"",""เบิกจ่ายกองทุน!BA78"")"),0)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100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12675</v>
      </c>
      <c r="R616" s="132">
        <f ca="1">R617+R618</f>
        <v>12675</v>
      </c>
      <c r="S616" s="132">
        <f ca="1">S617+S618</f>
        <v>1619</v>
      </c>
      <c r="T616" s="132">
        <f ca="1">IF(Q616&gt;0,S616*100/Q616,0)</f>
        <v>12.773175542406312</v>
      </c>
      <c r="U616" s="132">
        <f ca="1">IF(R616&gt;0,S616*100/R616,0)</f>
        <v>12.773175542406312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12675</v>
      </c>
      <c r="R618" s="47">
        <f ca="1">R621+R624</f>
        <v>12675</v>
      </c>
      <c r="S618" s="47">
        <f ca="1">S621+S624</f>
        <v>1619</v>
      </c>
      <c r="T618" s="47">
        <f ca="1">IF(Q618&gt;0,S618*100/Q618,0)</f>
        <v>12.773175542406312</v>
      </c>
      <c r="U618" s="47">
        <f ca="1">IF(R618&gt;0,S618*100/R618,0)</f>
        <v>12.773175542406312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12675</v>
      </c>
      <c r="R619" s="47">
        <f ca="1">R620+R621</f>
        <v>12675</v>
      </c>
      <c r="S619" s="47">
        <f ca="1">S620+S621</f>
        <v>1619</v>
      </c>
      <c r="T619" s="47">
        <f ca="1">IF(Q619&gt;0,S619*100/Q619,0)</f>
        <v>12.773175542406312</v>
      </c>
      <c r="U619" s="47">
        <f ca="1">IF(R619&gt;0,S619*100/R619,0)</f>
        <v>12.773175542406312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IFERROR(__xludf.DUMMYFUNCTION("IMPORTRANGE(""https://docs.google.com/spreadsheets/d/1ItG2mGa2ceCfYo0BwxsXqNm01IGEUdYcSSLTEv9YCik/edit?usp=sharing"",""เบิกจ่ายกองทุน!H78"")"),1619)</f>
        <v>1619</v>
      </c>
      <c r="T621" s="47">
        <f ca="1">IF(Q621&gt;0,S621*100/Q621,0)</f>
        <v>12.773175542406312</v>
      </c>
      <c r="U621" s="47">
        <f ca="1">IF(R621&gt;0,S621*100/R621,0)</f>
        <v>12.773175542406312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IFERROR(__xludf.DUMMYFUNCTION("IMPORTRANGE(""https://docs.google.com/spreadsheets/d/1eHaY18a8A9IcSdp1K8H6x8fbOy06t2VsZHhMHf-1x7Y/edit?usp=sharing"",""แผน!ID78"")"),100)</f>
        <v>100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IFERROR(__xludf.DUMMYFUNCTION("IMPORTRANGE(""https://docs.google.com/spreadsheets/d/1eHaY18a8A9IcSdp1K8H6x8fbOy06t2VsZHhMHf-1x7Y/edit?usp=sharing"",""แผน!IC78"")"),1)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IFERROR(__xludf.DUMMYFUNCTION("IMPORTRANGE(""https://docs.google.com/spreadsheets/d/1eHaY18a8A9IcSdp1K8H6x8fbOy06t2VsZHhMHf-1x7Y/edit?usp=sharing"",""แผน!IF78"")"),0)</f>
        <v>0</v>
      </c>
      <c r="J652" s="15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IFERROR(__xludf.DUMMYFUNCTION("IMPORTRANGE(""https://docs.google.com/spreadsheets/d/1eHaY18a8A9IcSdp1K8H6x8fbOy06t2VsZHhMHf-1x7Y/edit?usp=sharing"",""แผน!IG78"")"),0)</f>
        <v>0</v>
      </c>
      <c r="J653" s="15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IFERROR(__xludf.DUMMYFUNCTION("IMPORTRANGE(""https://docs.google.com/spreadsheets/d/1eHaY18a8A9IcSdp1K8H6x8fbOy06t2VsZHhMHf-1x7Y/edit?usp=sharing"",""แผน!IL78"")"),0)</f>
        <v>0</v>
      </c>
      <c r="J673" s="15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IFERROR(__xludf.DUMMYFUNCTION("IMPORTRANGE(""https://docs.google.com/spreadsheets/d/1eHaY18a8A9IcSdp1K8H6x8fbOy06t2VsZHhMHf-1x7Y/edit?usp=sharing"",""แผน!IO78"")"),0)</f>
        <v>0</v>
      </c>
      <c r="J676" s="15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IFERROR(__xludf.DUMMYFUNCTION("IMPORTRANGE(""https://docs.google.com/spreadsheets/d/1eHaY18a8A9IcSdp1K8H6x8fbOy06t2VsZHhMHf-1x7Y/edit?usp=sharing"",""แผน!IP78"")"),0)</f>
        <v>0</v>
      </c>
      <c r="J678" s="15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IFERROR(__xludf.DUMMYFUNCTION("IMPORTRANGE(""https://docs.google.com/spreadsheets/d/1eHaY18a8A9IcSdp1K8H6x8fbOy06t2VsZHhMHf-1x7Y/edit?usp=sharing"",""แผน!IQ78"")"),0)</f>
        <v>0</v>
      </c>
      <c r="J679" s="15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IFERROR(__xludf.DUMMYFUNCTION("IMPORTRANGE(""https://docs.google.com/spreadsheets/d/1eHaY18a8A9IcSdp1K8H6x8fbOy06t2VsZHhMHf-1x7Y/edit?usp=sharing"",""แผน!IR78"")"),0)</f>
        <v>0</v>
      </c>
      <c r="J681" s="15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45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178410</v>
      </c>
      <c r="R690" s="132">
        <f ca="1">R691+R692</f>
        <v>178410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178410</v>
      </c>
      <c r="R692" s="47">
        <f ca="1">R695+R698</f>
        <v>178410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178410</v>
      </c>
      <c r="R693" s="47">
        <f ca="1">R694+R695</f>
        <v>178410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49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IFERROR(__xludf.DUMMYFUNCTION("IMPORTRANGE(""https://docs.google.com/spreadsheets/d/1eHaY18a8A9IcSdp1K8H6x8fbOy06t2VsZHhMHf-1x7Y/edit?usp=sharing"",""แผน!LJ78"")"),45)</f>
        <v>45</v>
      </c>
      <c r="J703" s="15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IFERROR(__xludf.DUMMYFUNCTION("IMPORTRANGE(""https://docs.google.com/spreadsheets/d/1eHaY18a8A9IcSdp1K8H6x8fbOy06t2VsZHhMHf-1x7Y/edit?usp=sharing"",""แผน!LK78"")"),4)</f>
        <v>4</v>
      </c>
      <c r="J705" s="152">
        <f ca="1">IFERROR(__xludf.DUMMYFUNCTION("IMPORTRANGE(""https://docs.google.com/spreadsheets/d/1tdoBKaGub7dwA3U6UFTqxio9LNnvDCQjHKmttSEBsFQ/edit?usp=sharing"",""จัดที่ดิน!AR78"")"),0)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IFERROR(__xludf.DUMMYFUNCTION("IMPORTRANGE(""https://docs.google.com/spreadsheets/d/1eHaY18a8A9IcSdp1K8H6x8fbOy06t2VsZHhMHf-1x7Y/edit?usp=sharing"",""แผน!LJ78"")"),45)</f>
        <v>45</v>
      </c>
      <c r="J707" s="15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IFERROR(__xludf.DUMMYFUNCTION("IMPORTRANGE(""https://docs.google.com/spreadsheets/d/1eHaY18a8A9IcSdp1K8H6x8fbOy06t2VsZHhMHf-1x7Y/edit?usp=sharing"",""แผน!LK78"")"),4)</f>
        <v>4</v>
      </c>
      <c r="J709" s="152">
        <f ca="1">IFERROR(__xludf.DUMMYFUNCTION("IMPORTRANGE(""https://docs.google.com/spreadsheets/d/1tdoBKaGub7dwA3U6UFTqxio9LNnvDCQjHKmttSEBsFQ/edit?usp=sharing"",""จัดที่ดิน!BP78"")"),3)</f>
        <v>3</v>
      </c>
      <c r="K709" s="47">
        <f ca="1">IF(I709&gt;0,J709*100/I709,0)</f>
        <v>75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IFERROR(__xludf.DUMMYFUNCTION("IMPORTRANGE(""https://docs.google.com/spreadsheets/d/1eHaY18a8A9IcSdp1K8H6x8fbOy06t2VsZHhMHf-1x7Y/edit?usp=sharing"",""แผน!GA78"")"),21)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IFERROR(__xludf.DUMMYFUNCTION("IMPORTRANGE(""https://docs.google.com/spreadsheets/d/1eHaY18a8A9IcSdp1K8H6x8fbOy06t2VsZHhMHf-1x7Y/edit?usp=sharing"",""แผน!FZ78"")"),200)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131748</v>
      </c>
      <c r="T728" s="132">
        <f ca="1">IF(Q728&gt;0,S728*100/Q728,0)</f>
        <v>74.859370205802477</v>
      </c>
      <c r="U728" s="132">
        <f ca="1">IF(R728&gt;0,S728*100/R728,0)</f>
        <v>74.859370205802477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131748</v>
      </c>
      <c r="T730" s="47">
        <f ca="1">IF(Q730&gt;0,S730*100/Q730,0)</f>
        <v>74.859370205802477</v>
      </c>
      <c r="U730" s="47">
        <f ca="1">IF(R730&gt;0,S730*100/R730,0)</f>
        <v>74.859370205802477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131748</v>
      </c>
      <c r="T731" s="47">
        <f ca="1">IF(Q731&gt;0,S731*100/Q731,0)</f>
        <v>74.859370205802477</v>
      </c>
      <c r="U731" s="47">
        <f ca="1">IF(R731&gt;0,S731*100/R731,0)</f>
        <v>74.859370205802477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IFERROR(__xludf.DUMMYFUNCTION("IMPORTRANGE(""https://docs.google.com/spreadsheets/d/1ItG2mGa2ceCfYo0BwxsXqNm01IGEUdYcSSLTEv9YCik/edit?usp=sharing"",""เบิกจ่ายกองทุน!Q78"")"),131748)</f>
        <v>131748</v>
      </c>
      <c r="T733" s="47">
        <f ca="1">IF(Q733&gt;0,S733*100/Q733,0)</f>
        <v>74.859370205802477</v>
      </c>
      <c r="U733" s="47">
        <f ca="1">IF(R733&gt;0,S733*100/R733,0)</f>
        <v>74.859370205802477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IFERROR(__xludf.DUMMYFUNCTION("IMPORTRANGE(""https://docs.google.com/spreadsheets/d/1eHaY18a8A9IcSdp1K8H6x8fbOy06t2VsZHhMHf-1x7Y/edit?usp=sharing"",""แผน!GB78"")"),160)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IFERROR(__xludf.DUMMYFUNCTION("IMPORTRANGE(""https://docs.google.com/spreadsheets/d/1eHaY18a8A9IcSdp1K8H6x8fbOy06t2VsZHhMHf-1x7Y/edit?usp=sharing"",""แผน!GC78"")"),16)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IFERROR(__xludf.DUMMYFUNCTION("IMPORTRANGE(""https://docs.google.com/spreadsheets/d/1eHaY18a8A9IcSdp1K8H6x8fbOy06t2VsZHhMHf-1x7Y/edit?usp=sharing"",""แผน!GD78"")"),40)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IFERROR(__xludf.DUMMYFUNCTION("IMPORTRANGE(""https://docs.google.com/spreadsheets/d/1eHaY18a8A9IcSdp1K8H6x8fbOy06t2VsZHhMHf-1x7Y/edit?usp=sharing"",""แผน!GE78"")"),4)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IFERROR(__xludf.DUMMYFUNCTION("IMPORTRANGE(""https://docs.google.com/spreadsheets/d/1eHaY18a8A9IcSdp1K8H6x8fbOy06t2VsZHhMHf-1x7Y/edit?usp=sharing"",""แผน!GF78"")"),1)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IFERROR(__xludf.DUMMYFUNCTION("IMPORTRANGE(""https://docs.google.com/spreadsheets/d/1eHaY18a8A9IcSdp1K8H6x8fbOy06t2VsZHhMHf-1x7Y/edit?usp=sharing"",""แผน!GB78"")"),160)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IFERROR(__xludf.DUMMYFUNCTION("IMPORTRANGE(""https://docs.google.com/spreadsheets/d/1eHaY18a8A9IcSdp1K8H6x8fbOy06t2VsZHhMHf-1x7Y/edit?usp=sharing"",""แผน!GD78"")"),40)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IFERROR(__xludf.DUMMYFUNCTION("IMPORTRANGE(""https://docs.google.com/spreadsheets/d/1ItG2mGa2ceCfYo0BwxsXqNm01IGEUdYcSSLTEv9YCik/edit?usp=sharing"",""เบิกจ่ายกองทุน!AC78"")"),0)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IFERROR(__xludf.DUMMYFUNCTION("IMPORTRANGE(""https://docs.google.com/spreadsheets/d/1eHaY18a8A9IcSdp1K8H6x8fbOy06t2VsZHhMHf-1x7Y/edit?usp=sharing"",""แผน!FI78"")"),1)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IFERROR(__xludf.DUMMYFUNCTION("IMPORTRANGE(""https://docs.google.com/spreadsheets/d/1eHaY18a8A9IcSdp1K8H6x8fbOy06t2VsZHhMHf-1x7Y/edit?usp=sharing"",""แผน!FT78"")"),0)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IFERROR(__xludf.DUMMYFUNCTION("IMPORTRANGE(""https://docs.google.com/spreadsheets/d/10OvvATaaLtwErnr3qtWFcTmtbfpFEt5Bsqel9sXx0uE/edit?usp=sharing"",""งานกองทุน!D78"")"),2182922.15)</f>
        <v>2182922.15</v>
      </c>
      <c r="J778" s="152">
        <f ca="1">IFERROR(__xludf.DUMMYFUNCTION("IMPORTRANGE(""https://docs.google.com/spreadsheets/d/10OvvATaaLtwErnr3qtWFcTmtbfpFEt5Bsqel9sXx0uE/edit?usp=sharing"",""งานกองทุน!F78"")"),1490072.74)</f>
        <v>1490072.74</v>
      </c>
      <c r="K778" s="47">
        <f ca="1">IF(I778&gt;0,J778*100/I778,0)</f>
        <v>68.260461785135121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IFERROR(__xludf.DUMMYFUNCTION("IMPORTRANGE(""https://docs.google.com/spreadsheets/d/10OvvATaaLtwErnr3qtWFcTmtbfpFEt5Bsqel9sXx0uE/edit?usp=sharing"",""งานกองทุน!C78"")"),123)</f>
        <v>123</v>
      </c>
      <c r="J779" s="152">
        <f ca="1">IFERROR(__xludf.DUMMYFUNCTION("IMPORTRANGE(""https://docs.google.com/spreadsheets/d/10OvvATaaLtwErnr3qtWFcTmtbfpFEt5Bsqel9sXx0uE/edit?usp=sharing"",""งานกองทุน!E78"")"),92)</f>
        <v>92</v>
      </c>
      <c r="K779" s="47">
        <f ca="1">IF(I779&gt;0,J779*100/I779,0)</f>
        <v>74.796747967479675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152">
        <f ca="1">IFERROR(__xludf.DUMMYFUNCTION("IMPORTRANGE(""https://docs.google.com/spreadsheets/d/10OvvATaaLtwErnr3qtWFcTmtbfpFEt5Bsqel9sXx0uE/edit?usp=sharing"",""งานกองทุน!K78"")"),356650.8)</f>
        <v>356650.8</v>
      </c>
      <c r="K780" s="47">
        <f ca="1">IF(I780&gt;0,J780*100/I780,0)</f>
        <v>15.42900170550976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IFERROR(__xludf.DUMMYFUNCTION("IMPORTRANGE(""https://docs.google.com/spreadsheets/d/10OvvATaaLtwErnr3qtWFcTmtbfpFEt5Bsqel9sXx0uE/edit?usp=sharing"",""งานกองทุน!H78"")"),99)</f>
        <v>99</v>
      </c>
      <c r="J781" s="152">
        <f ca="1">IFERROR(__xludf.DUMMYFUNCTION("IMPORTRANGE(""https://docs.google.com/spreadsheets/d/10OvvATaaLtwErnr3qtWFcTmtbfpFEt5Bsqel9sXx0uE/edit?usp=sharing"",""งานกองทุน!J78"")"),56)</f>
        <v>56</v>
      </c>
      <c r="K781" s="47">
        <f ca="1">IF(I781&gt;0,J781*100/I781,0)</f>
        <v>56.565656565656568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IFERROR(__xludf.DUMMYFUNCTION("IMPORTRANGE(""https://docs.google.com/spreadsheets/d/10OvvATaaLtwErnr3qtWFcTmtbfpFEt5Bsqel9sXx0uE/edit?usp=sharing"",""งานกองทุน!N78"")"),0)</f>
        <v>0</v>
      </c>
      <c r="J782" s="15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IFERROR(__xludf.DUMMYFUNCTION("IMPORTRANGE(""https://docs.google.com/spreadsheets/d/10OvvATaaLtwErnr3qtWFcTmtbfpFEt5Bsqel9sXx0uE/edit?usp=sharing"",""งานกองทุน!M78"")"),0)</f>
        <v>0</v>
      </c>
      <c r="J783" s="15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IFERROR(__xludf.DUMMYFUNCTION("IMPORTRANGE(""https://docs.google.com/spreadsheets/d/10OvvATaaLtwErnr3qtWFcTmtbfpFEt5Bsqel9sXx0uE/edit?usp=sharing"",""งานกองทุน!S78"")"),3500000)</f>
        <v>3500000</v>
      </c>
      <c r="J784" s="152">
        <f ca="1">IFERROR(__xludf.DUMMYFUNCTION("IMPORTRANGE(""https://docs.google.com/spreadsheets/d/10OvvATaaLtwErnr3qtWFcTmtbfpFEt5Bsqel9sXx0uE/edit?usp=sharing"",""งานกองทุน!U78"")"),3470000)</f>
        <v>3470000</v>
      </c>
      <c r="K784" s="47">
        <f ca="1">IF(I784&gt;0,J784*100/I784,0)</f>
        <v>99.142857142857139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IFERROR(__xludf.DUMMYFUNCTION("IMPORTRANGE(""https://docs.google.com/spreadsheets/d/10OvvATaaLtwErnr3qtWFcTmtbfpFEt5Bsqel9sXx0uE/edit?usp=sharing"",""งานกองทุน!R78"")"),125)</f>
        <v>125</v>
      </c>
      <c r="J785" s="197">
        <f ca="1">IFERROR(__xludf.DUMMYFUNCTION("IMPORTRANGE(""https://docs.google.com/spreadsheets/d/10OvvATaaLtwErnr3qtWFcTmtbfpFEt5Bsqel9sXx0uE/edit?usp=sharing"",""งานกองทุน!T78"")"),90)</f>
        <v>90</v>
      </c>
      <c r="K785" s="111">
        <f ca="1">IF(I785&gt;0,J785*100/I785,0)</f>
        <v>72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30548-E25F-4B7A-9241-A2F9A9E4D0A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321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1933360</v>
      </c>
      <c r="M18" s="35">
        <f ca="1">M19+M20</f>
        <v>2167609</v>
      </c>
      <c r="N18" s="35">
        <f ca="1">N19+N20</f>
        <v>1699983.09</v>
      </c>
      <c r="O18" s="35">
        <f ca="1">IF(L18&gt;0,N18*100/L18,0)</f>
        <v>87.928947014523942</v>
      </c>
      <c r="P18" s="35">
        <f ca="1">IF(M18&gt;0,N18*100/M18,0)</f>
        <v>78.426648440747385</v>
      </c>
      <c r="Q18" s="35">
        <f ca="1">Q19+Q20</f>
        <v>653547</v>
      </c>
      <c r="R18" s="35">
        <f ca="1">R19+R20</f>
        <v>653547</v>
      </c>
      <c r="S18" s="35">
        <f ca="1">S19+S20</f>
        <v>452696.94</v>
      </c>
      <c r="T18" s="35">
        <f ca="1">IF(Q18&gt;0,S18*100/Q18,0)</f>
        <v>69.267694595798005</v>
      </c>
      <c r="U18" s="35">
        <f ca="1">IF(R18&gt;0,S18*100/R18,0)</f>
        <v>69.267694595798005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1933360</v>
      </c>
      <c r="M20" s="39">
        <f ca="1">M23+M26</f>
        <v>2167609</v>
      </c>
      <c r="N20" s="39">
        <f ca="1">N23+N26</f>
        <v>1699983.09</v>
      </c>
      <c r="O20" s="39">
        <f ca="1">IF(L20&gt;0,N20*100/L20,0)</f>
        <v>87.928947014523942</v>
      </c>
      <c r="P20" s="39">
        <f ca="1">IF(M20&gt;0,N20*100/M20,0)</f>
        <v>78.426648440747385</v>
      </c>
      <c r="Q20" s="39">
        <f ca="1">Q23+Q26</f>
        <v>653547</v>
      </c>
      <c r="R20" s="39">
        <f ca="1">R23+R26</f>
        <v>653547</v>
      </c>
      <c r="S20" s="39">
        <f ca="1">S23+S26</f>
        <v>452696.94</v>
      </c>
      <c r="T20" s="39">
        <f ca="1">IF(Q20&gt;0,S20*100/Q20,0)</f>
        <v>69.267694595798005</v>
      </c>
      <c r="U20" s="39">
        <f ca="1">IF(R20&gt;0,S20*100/R20,0)</f>
        <v>69.267694595798005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1933360</v>
      </c>
      <c r="M21" s="47">
        <f ca="1">M22+M23</f>
        <v>2067609</v>
      </c>
      <c r="N21" s="47">
        <f ca="1">N22+N23</f>
        <v>1599983.09</v>
      </c>
      <c r="O21" s="47">
        <f ca="1">IF(L21&gt;0,N21*100/L21,0)</f>
        <v>82.756604564074976</v>
      </c>
      <c r="P21" s="47">
        <f ca="1">IF(M21&gt;0,N21*100/M21,0)</f>
        <v>77.383252346067366</v>
      </c>
      <c r="Q21" s="47">
        <f ca="1">Q22+Q23</f>
        <v>653547</v>
      </c>
      <c r="R21" s="47">
        <f ca="1">R22+R23</f>
        <v>653547</v>
      </c>
      <c r="S21" s="47">
        <f ca="1">S22+S23</f>
        <v>452696.94</v>
      </c>
      <c r="T21" s="47">
        <f ca="1">IF(Q21&gt;0,S21*100/Q21,0)</f>
        <v>69.267694595798005</v>
      </c>
      <c r="U21" s="47">
        <f ca="1">IF(R21&gt;0,S21*100/R21,0)</f>
        <v>69.267694595798005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1933360</v>
      </c>
      <c r="M23" s="47">
        <f ca="1">M49+M64+M77+M99+M122+M144+M162+M191+M178+M271+M287+M308+M325+M338+M361+M380+M418+M498+M518+M539+M560+M581+M604+M621+M647+M695+M719+M733+M765</f>
        <v>2067609</v>
      </c>
      <c r="N23" s="47">
        <f ca="1">N49+N64+N77+N99+N122+N144+N162+N191+N178+N271+N287+N308+N325+N338+N361+N380+N418+N498+N518+N539+N560+N581+N604+N621+N647+N695+N719+N733+N765</f>
        <v>1599983.09</v>
      </c>
      <c r="O23" s="47">
        <f ca="1">IF(L23&gt;0,N23*100/L23,0)</f>
        <v>82.756604564074976</v>
      </c>
      <c r="P23" s="47">
        <f ca="1">IF(M23&gt;0,N23*100/M23,0)</f>
        <v>77.383252346067366</v>
      </c>
      <c r="Q23" s="47">
        <f ca="1">Q77+Q99+Q122+Q144+Q162+Q178+Q191+Q271+Q287+Q308+Q338+Q380+Q397+Q418+Q498+Q604+Q621+Q647+Q695+Q719+Q733+Q765</f>
        <v>653547</v>
      </c>
      <c r="R23" s="47">
        <f ca="1">R77+R99+R122+R144+R162+R178+R191+R271+R287+R308+R338+R380+R397+R418+R498+R604+R621+R647+R695+R719+R733+R765</f>
        <v>653547</v>
      </c>
      <c r="S23" s="47">
        <f ca="1">S77+S99+S122+S144+S162+S178+S191+S271+S287+S308+S338+S380+S397+S418+S498+S604+S621+S647+S695+S719+S733+S765</f>
        <v>452696.94</v>
      </c>
      <c r="T23" s="47">
        <f ca="1">IF(Q23&gt;0,S23*100/Q23,0)</f>
        <v>69.267694595798005</v>
      </c>
      <c r="U23" s="47">
        <f ca="1">IF(R23&gt;0,S23*100/R23,0)</f>
        <v>69.267694595798005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100000</v>
      </c>
      <c r="N24" s="47">
        <f ca="1">N25+N26</f>
        <v>100000</v>
      </c>
      <c r="O24" s="47">
        <f ca="1">IF(L24&gt;0,N24*100/L24,0)</f>
        <v>0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100000</v>
      </c>
      <c r="N26" s="47">
        <f ca="1">N52+N67+N80+N102+N125+N147+N165+N194+N181+N274+N290+N311+N328+N341+N364+N383+N421+N501+N521+N542+N563+N584+N607+N624+N650+N698+N722+N736+N768</f>
        <v>100000</v>
      </c>
      <c r="O26" s="47">
        <f ca="1">IF(L26&gt;0,N26*100/L26,0)</f>
        <v>0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1725180</v>
      </c>
      <c r="M40" s="803">
        <f ca="1">M44+M59+M72+M94+M125+M139+M157+M173+M186+M266+M282+M303+M320+M333+M356</f>
        <v>1959429</v>
      </c>
      <c r="N40" s="803">
        <f ca="1">N44+N59+N72+N94+N125+N139+N157+N173+N186+N266+N282+N303+N320+N333+N356</f>
        <v>1612736.05</v>
      </c>
      <c r="O40" s="803">
        <f ca="1">IF(L40&gt;0,N40*100/L40,0)</f>
        <v>93.48219026420432</v>
      </c>
      <c r="P40" s="803">
        <f ca="1">IF(M40&gt;0,N40*100/M40,0)</f>
        <v>82.306429577188055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358900</v>
      </c>
      <c r="M44" s="79">
        <f ca="1">M45+M46</f>
        <v>426299</v>
      </c>
      <c r="N44" s="79">
        <f ca="1">N45+N46</f>
        <v>382829</v>
      </c>
      <c r="O44" s="79">
        <f ca="1">IF(L44&gt;0,N44*100/L44,0)</f>
        <v>106.66731680133742</v>
      </c>
      <c r="P44" s="79">
        <f ca="1">IF(M44&gt;0,N44*100/M44,0)</f>
        <v>89.802931745089708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358900</v>
      </c>
      <c r="M46" s="83">
        <f ca="1">M49+M52</f>
        <v>426299</v>
      </c>
      <c r="N46" s="83">
        <f ca="1">N49+N52</f>
        <v>382829</v>
      </c>
      <c r="O46" s="83">
        <f ca="1">IF(L46&gt;0,N46*100/L46,0)</f>
        <v>106.66731680133742</v>
      </c>
      <c r="P46" s="83">
        <f ca="1">IF(M46&gt;0,N46*100/M46,0)</f>
        <v>89.802931745089708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358900</v>
      </c>
      <c r="M47" s="47">
        <f ca="1">M48+M49</f>
        <v>426299</v>
      </c>
      <c r="N47" s="47">
        <f ca="1">N48+N49</f>
        <v>382829</v>
      </c>
      <c r="O47" s="47">
        <f ca="1">IF(L47&gt;0,N47*100/L47,0)</f>
        <v>106.66731680133742</v>
      </c>
      <c r="P47" s="47">
        <f ca="1">IF(M47&gt;0,N47*100/M47,0)</f>
        <v>89.802931745089708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IFERROR(__xludf.DUMMYFUNCTION("IMPORTRANGE(""https://docs.google.com/spreadsheets/d/1-uDff_7J0KD5mKrp0Vvzr7lt3OU09vwQwhkpOPPYv2Y/edit?usp=sharing"",""งบพรบ!P79"")"),358900)</f>
        <v>358900</v>
      </c>
      <c r="M49" s="47">
        <f ca="1">IFERROR(__xludf.DUMMYFUNCTION("IMPORTRANGE(""https://docs.google.com/spreadsheets/d/1-uDff_7J0KD5mKrp0Vvzr7lt3OU09vwQwhkpOPPYv2Y/edit?usp=sharing"",""งบพรบ!V79"")"),426299)</f>
        <v>426299</v>
      </c>
      <c r="N49" s="47">
        <f ca="1">IFERROR(__xludf.DUMMYFUNCTION("IMPORTRANGE(""https://docs.google.com/spreadsheets/d/1-uDff_7J0KD5mKrp0Vvzr7lt3OU09vwQwhkpOPPYv2Y/edit?usp=sharing"",""งบพรบ!Y79"")"),382829)</f>
        <v>382829</v>
      </c>
      <c r="O49" s="47">
        <f ca="1">IF(L49&gt;0,N49*100/L49,0)</f>
        <v>106.66731680133742</v>
      </c>
      <c r="P49" s="47">
        <f ca="1">IF(M49&gt;0,N49*100/M49,0)</f>
        <v>89.802931745089708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567100</v>
      </c>
      <c r="M59" s="106">
        <f ca="1">M60+M61</f>
        <v>667100</v>
      </c>
      <c r="N59" s="106">
        <f ca="1">N60+N61</f>
        <v>585402.52</v>
      </c>
      <c r="O59" s="106">
        <f ca="1">IF(L59&gt;0,N59*100/L59,0)</f>
        <v>103.22738846764238</v>
      </c>
      <c r="P59" s="106">
        <f ca="1">IF(M59&gt;0,N59*100/M59,0)</f>
        <v>87.753338330085441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567100</v>
      </c>
      <c r="M61" s="109">
        <f ca="1">M64+M67</f>
        <v>667100</v>
      </c>
      <c r="N61" s="109">
        <f ca="1">N64+N67</f>
        <v>585402.52</v>
      </c>
      <c r="O61" s="109">
        <f ca="1">IF(L61&gt;0,N61*100/L61,0)</f>
        <v>103.22738846764238</v>
      </c>
      <c r="P61" s="109">
        <f ca="1">IF(M61&gt;0,N61*100/M61,0)</f>
        <v>87.753338330085441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567100</v>
      </c>
      <c r="M62" s="47">
        <f ca="1">M63+M64</f>
        <v>567100</v>
      </c>
      <c r="N62" s="47">
        <f ca="1">N63+N64</f>
        <v>485402.52</v>
      </c>
      <c r="O62" s="47">
        <f ca="1">IF(L62&gt;0,N62*100/L62,0)</f>
        <v>85.593814142126604</v>
      </c>
      <c r="P62" s="47">
        <f ca="1">IF(M62&gt;0,N62*100/M62,0)</f>
        <v>85.593814142126604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IFERROR(__xludf.DUMMYFUNCTION("IMPORTRANGE(""https://docs.google.com/spreadsheets/d/1-uDff_7J0KD5mKrp0Vvzr7lt3OU09vwQwhkpOPPYv2Y/edit?usp=sharing"",""งบพรบ!AC79"")"),567100)</f>
        <v>567100</v>
      </c>
      <c r="M64" s="47">
        <f ca="1">IFERROR(__xludf.DUMMYFUNCTION("IMPORTRANGE(""https://docs.google.com/spreadsheets/d/1-uDff_7J0KD5mKrp0Vvzr7lt3OU09vwQwhkpOPPYv2Y/edit?usp=sharing"",""งบพรบ!AH79"")"),567100)</f>
        <v>567100</v>
      </c>
      <c r="N64" s="47">
        <f ca="1">IFERROR(__xludf.DUMMYFUNCTION("IMPORTRANGE(""https://docs.google.com/spreadsheets/d/1-uDff_7J0KD5mKrp0Vvzr7lt3OU09vwQwhkpOPPYv2Y/edit?usp=sharing"",""งบพรบ!AJ79"")"),485402.52)</f>
        <v>485402.52</v>
      </c>
      <c r="O64" s="47">
        <f ca="1">IF(L64&gt;0,N64*100/L64,0)</f>
        <v>85.593814142126604</v>
      </c>
      <c r="P64" s="47">
        <f ca="1">IF(M64&gt;0,N64*100/M64,0)</f>
        <v>85.593814142126604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100000</v>
      </c>
      <c r="N65" s="47">
        <f ca="1">N66+N67</f>
        <v>100000</v>
      </c>
      <c r="O65" s="47">
        <f ca="1">IF(L65&gt;0,N65*100/L65,0)</f>
        <v>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IFERROR(__xludf.DUMMYFUNCTION("IMPORTRANGE(""https://docs.google.com/spreadsheets/d/1-uDff_7J0KD5mKrp0Vvzr7lt3OU09vwQwhkpOPPYv2Y/edit?usp=sharing"",""งบพรบ!AI79"")"),100000)</f>
        <v>100000</v>
      </c>
      <c r="N67" s="111">
        <f ca="1">IFERROR(__xludf.DUMMYFUNCTION("IMPORTRANGE(""https://docs.google.com/spreadsheets/d/1-uDff_7J0KD5mKrp0Vvzr7lt3OU09vwQwhkpOPPYv2Y/edit?usp=sharing"",""งบพรบ!AK79"")"),100000)</f>
        <v>100000</v>
      </c>
      <c r="O67" s="111">
        <f ca="1">IF(L67&gt;0,N67*100/L67,0)</f>
        <v>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IFERROR(__xludf.DUMMYFUNCTION("IMPORTRANGE(""https://docs.google.com/spreadsheets/d/1ItG2mGa2ceCfYo0BwxsXqNm01IGEUdYcSSLTEv9YCik/edit?usp=sharing"",""เบิกจ่ายกองทุน!BH79"")"),0)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IFERROR(__xludf.DUMMYFUNCTION("IMPORTRANGE(""https://docs.google.com/spreadsheets/d/1ItG2mGa2ceCfYo0BwxsXqNm01IGEUdYcSSLTEv9YCik/edit?usp=sharing"",""เบิกจ่ายกองทุน!BI79"")"),0)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IFERROR(__xludf.DUMMYFUNCTION("IMPORTRANGE(""https://docs.google.com/spreadsheets/d/1ItG2mGa2ceCfYo0BwxsXqNm01IGEUdYcSSLTEv9YCik/edit?usp=sharing"",""เบิกจ่ายกองทุน!BJ79"")"),0)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IFERROR(__xludf.DUMMYFUNCTION("IMPORTRANGE(""https://docs.google.com/spreadsheets/d/1ItG2mGa2ceCfYo0BwxsXqNm01IGEUdYcSSLTEv9YCik/edit?usp=sharing"",""เบิกจ่ายกองทุน!BK79"")"),0)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IFERROR(__xludf.DUMMYFUNCTION("IMPORTRANGE(""https://docs.google.com/spreadsheets/d/1ItG2mGa2ceCfYo0BwxsXqNm01IGEUdYcSSLTEv9YCik/edit?usp=sharing"",""เบิกจ่ายกองทุน!BL79"")"),0)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IFERROR(__xludf.DUMMYFUNCTION("IMPORTRANGE(""https://docs.google.com/spreadsheets/d/1ItG2mGa2ceCfYo0BwxsXqNm01IGEUdYcSSLTEv9YCik/edit?usp=sharing"",""เบิกจ่ายกองทุน!BM79"")"),0)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IFERROR(__xludf.DUMMYFUNCTION("IMPORTRANGE(""https://docs.google.com/spreadsheets/d/1eHaY18a8A9IcSdp1K8H6x8fbOy06t2VsZHhMHf-1x7Y/edit?usp=sharing"",""แผน!H79"")"),0)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IFERROR(__xludf.DUMMYFUNCTION("IMPORTRANGE(""https://docs.google.com/spreadsheets/d/1eHaY18a8A9IcSdp1K8H6x8fbOy06t2VsZHhMHf-1x7Y/edit?usp=sharing"",""แผน!I79"")"),0)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IFERROR(__xludf.DUMMYFUNCTION("IMPORTRANGE(""https://docs.google.com/spreadsheets/d/1eHaY18a8A9IcSdp1K8H6x8fbOy06t2VsZHhMHf-1x7Y/edit?usp=sharing"",""แผน!F79"")"),0)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IFERROR(__xludf.DUMMYFUNCTION("IMPORTRANGE(""https://docs.google.com/spreadsheets/d/1eHaY18a8A9IcSdp1K8H6x8fbOy06t2VsZHhMHf-1x7Y/edit?usp=sharing"",""แผน!G79"")"),0)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IFERROR(__xludf.DUMMYFUNCTION("IMPORTRANGE(""https://docs.google.com/spreadsheets/d/1eHaY18a8A9IcSdp1K8H6x8fbOy06t2VsZHhMHf-1x7Y/edit?usp=sharing"",""แผน!D79"")"),0)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IFERROR(__xludf.DUMMYFUNCTION("IMPORTRANGE(""https://docs.google.com/spreadsheets/d/1eHaY18a8A9IcSdp1K8H6x8fbOy06t2VsZHhMHf-1x7Y/edit?usp=sharing"",""แผน!E79"")"),0)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IFERROR(__xludf.DUMMYFUNCTION("IMPORTRANGE(""https://docs.google.com/spreadsheets/d/1eHaY18a8A9IcSdp1K8H6x8fbOy06t2VsZHhMHf-1x7Y/edit?usp=sharing"",""แผน!J79"")"),0)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60</v>
      </c>
      <c r="J92" s="127">
        <f>J108</f>
        <v>60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20</v>
      </c>
      <c r="J93" s="127">
        <f>J109</f>
        <v>20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12000</v>
      </c>
      <c r="M94" s="132">
        <f ca="1">M95+M96</f>
        <v>12000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168840</v>
      </c>
      <c r="R94" s="132">
        <f ca="1">R95+R96</f>
        <v>168840</v>
      </c>
      <c r="S94" s="132">
        <f ca="1">S95+S96</f>
        <v>121080</v>
      </c>
      <c r="T94" s="132">
        <f ca="1">IF(Q94&gt;0,S94*100/Q94,0)</f>
        <v>71.712864250177688</v>
      </c>
      <c r="U94" s="132">
        <f ca="1">IF(R94&gt;0,S94*100/R94,0)</f>
        <v>71.712864250177688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12000</v>
      </c>
      <c r="M96" s="47">
        <f ca="1">M99+M102</f>
        <v>12000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168840</v>
      </c>
      <c r="R96" s="47">
        <f ca="1">R99+R102</f>
        <v>168840</v>
      </c>
      <c r="S96" s="47">
        <f ca="1">S99+S102</f>
        <v>121080</v>
      </c>
      <c r="T96" s="47">
        <f ca="1">IF(Q96&gt;0,S96*100/Q96,0)</f>
        <v>71.712864250177688</v>
      </c>
      <c r="U96" s="47">
        <f ca="1">IF(R96&gt;0,S96*100/R96,0)</f>
        <v>71.712864250177688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12000</v>
      </c>
      <c r="M97" s="47">
        <f ca="1">M98+M99</f>
        <v>12000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168840</v>
      </c>
      <c r="R97" s="47">
        <f ca="1">R98+R99</f>
        <v>168840</v>
      </c>
      <c r="S97" s="47">
        <f ca="1">S98+S99</f>
        <v>121080</v>
      </c>
      <c r="T97" s="47">
        <f ca="1">IF(Q97&gt;0,S97*100/Q97,0)</f>
        <v>71.712864250177688</v>
      </c>
      <c r="U97" s="47">
        <f ca="1">IF(R97&gt;0,S97*100/R97,0)</f>
        <v>71.712864250177688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IFERROR(__xludf.DUMMYFUNCTION("IMPORTRANGE(""https://docs.google.com/spreadsheets/d/1-uDff_7J0KD5mKrp0Vvzr7lt3OU09vwQwhkpOPPYv2Y/edit?usp=sharing"",""งบพรบ!AW79"")"),12000)</f>
        <v>12000</v>
      </c>
      <c r="M99" s="47">
        <f ca="1">IFERROR(__xludf.DUMMYFUNCTION("IMPORTRANGE(""https://docs.google.com/spreadsheets/d/1-uDff_7J0KD5mKrp0Vvzr7lt3OU09vwQwhkpOPPYv2Y/edit?usp=sharing"",""งบพรบ!BB79"")"),12000)</f>
        <v>12000</v>
      </c>
      <c r="N99" s="47">
        <f ca="1">IFERROR(__xludf.DUMMYFUNCTION("IMPORTRANGE(""https://docs.google.com/spreadsheets/d/1-uDff_7J0KD5mKrp0Vvzr7lt3OU09vwQwhkpOPPYv2Y/edit?usp=sharing"",""งบพรบ!BD79"")"),0)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IFERROR(__xludf.DUMMYFUNCTION("IMPORTRANGE(""https://docs.google.com/spreadsheets/d/1ItG2mGa2ceCfYo0BwxsXqNm01IGEUdYcSSLTEv9YCik/edit?usp=sharing"",""เบิกจ่ายกองทุน!AK79"")"),168840)</f>
        <v>168840</v>
      </c>
      <c r="S99" s="47">
        <f ca="1">IFERROR(__xludf.DUMMYFUNCTION("IMPORTRANGE(""https://docs.google.com/spreadsheets/d/1ItG2mGa2ceCfYo0BwxsXqNm01IGEUdYcSSLTEv9YCik/edit?usp=sharing"",""เบิกจ่ายกองทุน!AL79"")"),121080)</f>
        <v>121080</v>
      </c>
      <c r="T99" s="47">
        <f ca="1">IF(Q99&gt;0,S99*100/Q99,0)</f>
        <v>71.712864250177688</v>
      </c>
      <c r="U99" s="47">
        <f ca="1">IF(R99&gt;0,S99*100/R99,0)</f>
        <v>71.712864250177688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IFERROR(__xludf.DUMMYFUNCTION("IMPORTRANGE(""https://docs.google.com/spreadsheets/d/1eHaY18a8A9IcSdp1K8H6x8fbOy06t2VsZHhMHf-1x7Y/edit?usp=sharing"",""แผน!N79"")"),60)</f>
        <v>60</v>
      </c>
      <c r="J108" s="167">
        <v>60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IFERROR(__xludf.DUMMYFUNCTION("IMPORTRANGE(""https://docs.google.com/spreadsheets/d/1eHaY18a8A9IcSdp1K8H6x8fbOy06t2VsZHhMHf-1x7Y/edit?usp=sharing"",""แผน!O79"")"),20)</f>
        <v>20</v>
      </c>
      <c r="J109" s="167">
        <v>20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IFERROR(__xludf.DUMMYFUNCTION("IMPORTRANGE(""https://docs.google.com/spreadsheets/d/1eHaY18a8A9IcSdp1K8H6x8fbOy06t2VsZHhMHf-1x7Y/edit?usp=sharing"",""แผน!N79"")"),60)</f>
        <v>60</v>
      </c>
      <c r="J113" s="175">
        <v>60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IFERROR(__xludf.DUMMYFUNCTION("IMPORTRANGE(""https://docs.google.com/spreadsheets/d/1eHaY18a8A9IcSdp1K8H6x8fbOy06t2VsZHhMHf-1x7Y/edit?usp=sharing"",""แผน!O79"")"),20)</f>
        <v>20</v>
      </c>
      <c r="J114" s="167">
        <v>20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</v>
      </c>
      <c r="J116" s="127">
        <f>J127</f>
        <v>15</v>
      </c>
      <c r="K116" s="35">
        <f ca="1">IF(I116&gt;0,J116*100/I116,0)</f>
        <v>60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229220</v>
      </c>
      <c r="R117" s="132">
        <f ca="1">R118+R119</f>
        <v>229220</v>
      </c>
      <c r="S117" s="132">
        <f ca="1">S118+S119</f>
        <v>151050</v>
      </c>
      <c r="T117" s="132">
        <f ca="1">IF(Q117&gt;0,S117*100/Q117,0)</f>
        <v>65.897391152604484</v>
      </c>
      <c r="U117" s="132">
        <f ca="1">IF(R117&gt;0,S117*100/R117,0)</f>
        <v>65.897391152604484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229220</v>
      </c>
      <c r="R119" s="47">
        <f ca="1">R122+R125</f>
        <v>229220</v>
      </c>
      <c r="S119" s="47">
        <f ca="1">S122+S125</f>
        <v>151050</v>
      </c>
      <c r="T119" s="47">
        <f ca="1">IF(Q119&gt;0,S119*100/Q119,0)</f>
        <v>65.897391152604484</v>
      </c>
      <c r="U119" s="47">
        <f ca="1">IF(R119&gt;0,S119*100/R119,0)</f>
        <v>65.897391152604484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229220</v>
      </c>
      <c r="R120" s="47">
        <f ca="1">R121+R122</f>
        <v>229220</v>
      </c>
      <c r="S120" s="47">
        <f ca="1">S121+S122</f>
        <v>151050</v>
      </c>
      <c r="T120" s="47">
        <f ca="1">IF(Q120&gt;0,S120*100/Q120,0)</f>
        <v>65.897391152604484</v>
      </c>
      <c r="U120" s="47">
        <f ca="1">IF(R120&gt;0,S120*100/R120,0)</f>
        <v>65.897391152604484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IFERROR(__xludf.DUMMYFUNCTION("IMPORTRANGE(""https://docs.google.com/spreadsheets/d/1ItG2mGa2ceCfYo0BwxsXqNm01IGEUdYcSSLTEv9YCik/edit?usp=sharing"",""เบิกจ่ายกองทุน!V79"")"),229220)</f>
        <v>229220</v>
      </c>
      <c r="S122" s="47">
        <f ca="1">IFERROR(__xludf.DUMMYFUNCTION("IMPORTRANGE(""https://docs.google.com/spreadsheets/d/1ItG2mGa2ceCfYo0BwxsXqNm01IGEUdYcSSLTEv9YCik/edit?usp=sharing"",""เบิกจ่ายกองทุน!W79"")"),151050)</f>
        <v>151050</v>
      </c>
      <c r="T122" s="47">
        <f ca="1">IF(Q122&gt;0,S122*100/Q122,0)</f>
        <v>65.897391152604484</v>
      </c>
      <c r="U122" s="47">
        <f ca="1">IF(R122&gt;0,S122*100/R122,0)</f>
        <v>65.897391152604484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IFERROR(__xludf.DUMMYFUNCTION("IMPORTRANGE(""https://docs.google.com/spreadsheets/d/1ItG2mGa2ceCfYo0BwxsXqNm01IGEUdYcSSLTEv9YCik/edit?usp=sharing"",""เบิกจ่ายกองทุน!X79"")"),0)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IFERROR(__xludf.DUMMYFUNCTION("IMPORTRANGE(""https://docs.google.com/spreadsheets/d/1ItG2mGa2ceCfYo0BwxsXqNm01IGEUdYcSSLTEv9YCik/edit?usp=sharing"",""เบิกจ่ายกองทุน!Y79"")"),0)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IFERROR(__xludf.DUMMYFUNCTION("IMPORTRANGE(""https://docs.google.com/spreadsheets/d/1ItG2mGa2ceCfYo0BwxsXqNm01IGEUdYcSSLTEv9YCik/edit?usp=sharing"",""เบิกจ่ายกองทุน!Z79"")"),0)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IFERROR(__xludf.DUMMYFUNCTION("IMPORTRANGE(""https://docs.google.com/spreadsheets/d/1eHaY18a8A9IcSdp1K8H6x8fbOy06t2VsZHhMHf-1x7Y/edit?usp=sharing"",""แผน!FF79"")"),25)</f>
        <v>25</v>
      </c>
      <c r="J127" s="167">
        <v>15</v>
      </c>
      <c r="K127" s="47">
        <f ca="1">IF(I127&gt;0,J127*100/I127,0)</f>
        <v>60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IFERROR(__xludf.DUMMYFUNCTION("IMPORTRANGE(""https://docs.google.com/spreadsheets/d/1eHaY18a8A9IcSdp1K8H6x8fbOy06t2VsZHhMHf-1x7Y/edit?usp=sharing"",""แผน!FG79"")"),2)</f>
        <v>2</v>
      </c>
      <c r="J128" s="167">
        <v>1</v>
      </c>
      <c r="K128" s="47">
        <f ca="1">IF(I128&gt;0,J128*100/I128,0)</f>
        <v>50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IFERROR(__xludf.DUMMYFUNCTION("IMPORTRANGE(""https://docs.google.com/spreadsheets/d/1eHaY18a8A9IcSdp1K8H6x8fbOy06t2VsZHhMHf-1x7Y/edit?usp=sharing"",""แผน!FH79"")"),25)</f>
        <v>25</v>
      </c>
      <c r="J129" s="167">
        <v>15</v>
      </c>
      <c r="K129" s="47">
        <f ca="1">IF(I129&gt;0,J129*100/I129,0)</f>
        <v>60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IFERROR(__xludf.DUMMYFUNCTION("IMPORTRANGE(""https://docs.google.com/spreadsheets/d/1eHaY18a8A9IcSdp1K8H6x8fbOy06t2VsZHhMHf-1x7Y/edit?usp=sharing"",""แผน!FI79"")"),2)</f>
        <v>2</v>
      </c>
      <c r="J130" s="167">
        <v>1</v>
      </c>
      <c r="K130" s="47">
        <f ca="1">IF(I130&gt;0,J130*100/I130,0)</f>
        <v>50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IFERROR(__xludf.DUMMYFUNCTION("IMPORTRANGE(""https://docs.google.com/spreadsheets/d/1ItG2mGa2ceCfYo0BwxsXqNm01IGEUdYcSSLTEv9YCik/edit?usp=sharing"",""เบิกจ่ายกองทุน!CH79"")"),0)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IFERROR(__xludf.DUMMYFUNCTION("IMPORTRANGE(""https://docs.google.com/spreadsheets/d/1ItG2mGa2ceCfYo0BwxsXqNm01IGEUdYcSSLTEv9YCik/edit?usp=sharing"",""เบิกจ่ายกองทุน!CI79"")"),0)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IFERROR(__xludf.DUMMYFUNCTION("IMPORTRANGE(""https://docs.google.com/spreadsheets/d/1ItG2mGa2ceCfYo0BwxsXqNm01IGEUdYcSSLTEv9YCik/edit?usp=sharing"",""เบิกจ่ายกองทุน!CJ79"")"),0)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IFERROR(__xludf.DUMMYFUNCTION("IMPORTRANGE(""https://docs.google.com/spreadsheets/d/1ItG2mGa2ceCfYo0BwxsXqNm01IGEUdYcSSLTEv9YCik/edit?usp=sharing"",""เบิกจ่ายกองทุน!CK79"")"),0)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IFERROR(__xludf.DUMMYFUNCTION("IMPORTRANGE(""https://docs.google.com/spreadsheets/d/1eHaY18a8A9IcSdp1K8H6x8fbOy06t2VsZHhMHf-1x7Y/edit?usp=sharing"",""แผน!U79"")"),0)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IFERROR(__xludf.DUMMYFUNCTION("IMPORTRANGE(""https://docs.google.com/spreadsheets/d/1eHaY18a8A9IcSdp1K8H6x8fbOy06t2VsZHhMHf-1x7Y/edit?usp=sharing"",""แผน!V79"")"),0)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IFERROR(__xludf.DUMMYFUNCTION("IMPORTRANGE(""https://docs.google.com/spreadsheets/d/1eHaY18a8A9IcSdp1K8H6x8fbOy06t2VsZHhMHf-1x7Y/edit?usp=sharing"",""แผน!W79"")"),0)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IFERROR(__xludf.DUMMYFUNCTION("IMPORTRANGE(""https://docs.google.com/spreadsheets/d/1eHaY18a8A9IcSdp1K8H6x8fbOy06t2VsZHhMHf-1x7Y/edit?usp=sharing"",""แผน!X79"")"),0)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IFERROR(__xludf.DUMMYFUNCTION("IMPORTRANGE(""https://docs.google.com/spreadsheets/d/1eHaY18a8A9IcSdp1K8H6x8fbOy06t2VsZHhMHf-1x7Y/edit?usp=sharing"",""แผน!Y79"")"),0)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IFERROR(__xludf.DUMMYFUNCTION("IMPORTRANGE(""https://docs.google.com/spreadsheets/d/1ItG2mGa2ceCfYo0BwxsXqNm01IGEUdYcSSLTEv9YCik/edit?usp=sharing"",""เบิกจ่ายกองทุน!AO79"")"),0)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IFERROR(__xludf.DUMMYFUNCTION("IMPORTRANGE(""https://docs.google.com/spreadsheets/d/1eHaY18a8A9IcSdp1K8H6x8fbOy06t2VsZHhMHf-1x7Y/edit?usp=sharing"",""แผน!Z79"")"),0)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IFERROR(__xludf.DUMMYFUNCTION("IMPORTRANGE(""https://docs.google.com/spreadsheets/d/1eHaY18a8A9IcSdp1K8H6x8fbOy06t2VsZHhMHf-1x7Y/edit?usp=sharing"",""แผน!Z79"")"),0)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IFERROR(__xludf.DUMMYFUNCTION("IMPORTRANGE(""https://docs.google.com/spreadsheets/d/1eHaY18a8A9IcSdp1K8H6x8fbOy06t2VsZHhMHf-1x7Y/edit?usp=sharing"",""แผน!Z79"")"),0)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41440</v>
      </c>
      <c r="N173" s="132">
        <f ca="1">N174+N175</f>
        <v>41440</v>
      </c>
      <c r="O173" s="132">
        <f ca="1">IF(L173&gt;0,N173*100/L173,0)</f>
        <v>211.53649821337416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41440</v>
      </c>
      <c r="N175" s="47">
        <f ca="1">N178+N181</f>
        <v>41440</v>
      </c>
      <c r="O175" s="47">
        <f ca="1">IF(L175&gt;0,N175*100/L175,0)</f>
        <v>211.53649821337416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41440</v>
      </c>
      <c r="N176" s="47">
        <f ca="1">N177+N178</f>
        <v>41440</v>
      </c>
      <c r="O176" s="47">
        <f ca="1">IF(L176&gt;0,N176*100/L176,0)</f>
        <v>211.53649821337416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ca="1">IF(L178&gt;0,N178*100/L178,0)</f>
        <v>211.53649821337416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IFERROR(__xludf.DUMMYFUNCTION("IMPORTRANGE(""https://docs.google.com/spreadsheets/d/1ItG2mGa2ceCfYo0BwxsXqNm01IGEUdYcSSLTEv9YCik/edit?usp=sharing"",""เบิกจ่ายกองทุน!DI79"")"),0)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IFERROR(__xludf.DUMMYFUNCTION("IMPORTRANGE(""https://docs.google.com/spreadsheets/d/1eHaY18a8A9IcSdp1K8H6x8fbOy06t2VsZHhMHf-1x7Y/edit?usp=sharing"",""แผน!AA79"")"),7)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89900</v>
      </c>
      <c r="M186" s="132">
        <f ca="1">M187+M188</f>
        <v>91900</v>
      </c>
      <c r="N186" s="132">
        <f ca="1">N187+N188</f>
        <v>86460</v>
      </c>
      <c r="O186" s="132">
        <f ca="1">IF(L186&gt;0,N186*100/L186,0)</f>
        <v>96.17352614015573</v>
      </c>
      <c r="P186" s="132">
        <f ca="1">IF(M186&gt;0,N186*100/M186,0)</f>
        <v>94.080522306855272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89900</v>
      </c>
      <c r="M188" s="47">
        <f ca="1">M191+M194</f>
        <v>91900</v>
      </c>
      <c r="N188" s="47">
        <f ca="1">N191+N194</f>
        <v>86460</v>
      </c>
      <c r="O188" s="47">
        <f ca="1">IF(L188&gt;0,N188*100/L188,0)</f>
        <v>96.17352614015573</v>
      </c>
      <c r="P188" s="47">
        <f ca="1">IF(M188&gt;0,N188*100/M188,0)</f>
        <v>94.080522306855272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89900</v>
      </c>
      <c r="M189" s="47">
        <f ca="1">M190+M191</f>
        <v>91900</v>
      </c>
      <c r="N189" s="47">
        <f ca="1">N190+N191</f>
        <v>86460</v>
      </c>
      <c r="O189" s="47">
        <f ca="1">IF(L189&gt;0,N189*100/L189,0)</f>
        <v>96.17352614015573</v>
      </c>
      <c r="P189" s="47">
        <f ca="1">IF(M189&gt;0,N189*100/M189,0)</f>
        <v>94.080522306855272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IFERROR(__xludf.DUMMYFUNCTION("IMPORTRANGE(""https://docs.google.com/spreadsheets/d/1-uDff_7J0KD5mKrp0Vvzr7lt3OU09vwQwhkpOPPYv2Y/edit?usp=sharing"",""งบพรบ!CZ79"")"),91900)</f>
        <v>91900</v>
      </c>
      <c r="N191" s="47">
        <f ca="1">IFERROR(__xludf.DUMMYFUNCTION("IMPORTRANGE(""https://docs.google.com/spreadsheets/d/1-uDff_7J0KD5mKrp0Vvzr7lt3OU09vwQwhkpOPPYv2Y/edit?usp=sharing"",""งบพรบ!DB79"")"),86460)</f>
        <v>86460</v>
      </c>
      <c r="O191" s="47">
        <f ca="1">IF(L191&gt;0,N191*100/L191,0)</f>
        <v>96.17352614015573</v>
      </c>
      <c r="P191" s="47">
        <f ca="1">IF(M191&gt;0,N191*100/M191,0)</f>
        <v>94.080522306855272</v>
      </c>
      <c r="Q191" s="47">
        <f ca="1">IFERROR(__xludf.DUMMYFUNCTION("IMPORTRANGE(""https://docs.google.com/spreadsheets/d/1ItG2mGa2ceCfYo0BwxsXqNm01IGEUdYcSSLTEv9YCik/edit?usp=sharing"",""เบิกจ่ายกองทุน!BQ79"")"),0)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IFERROR(__xludf.DUMMYFUNCTION("IMPORTRANGE(""https://docs.google.com/spreadsheets/d/1ItG2mGa2ceCfYo0BwxsXqNm01IGEUdYcSSLTEv9YCik/edit?usp=sharing"",""เบิกจ่ายกองทุน!BS79"")"),0)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IFERROR(__xludf.DUMMYFUNCTION("IMPORTRANGE(""https://docs.google.com/spreadsheets/d/1ItG2mGa2ceCfYo0BwxsXqNm01IGEUdYcSSLTEv9YCik/edit?usp=sharing"",""เบิกจ่ายกองทุน!BT79"")"),0)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IFERROR(__xludf.DUMMYFUNCTION("IMPORTRANGE(""https://docs.google.com/spreadsheets/d/1ItG2mGa2ceCfYo0BwxsXqNm01IGEUdYcSSLTEv9YCik/edit?usp=sharing"",""เบิกจ่ายกองทุน!BU79"")"),0)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IFERROR(__xludf.DUMMYFUNCTION("IMPORTRANGE(""https://docs.google.com/spreadsheets/d/1ItG2mGa2ceCfYo0BwxsXqNm01IGEUdYcSSLTEv9YCik/edit?usp=sharing"",""เบิกจ่ายกองทุน!BV79"")"),0)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769">
        <v>4000</v>
      </c>
      <c r="O196" s="132">
        <f ca="1">IF(L196&gt;0,N196*100/L196,0)</f>
        <v>66.666666666666671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IFERROR(__xludf.DUMMYFUNCTION("IMPORTRANGE(""https://docs.google.com/spreadsheets/d/1eHaY18a8A9IcSdp1K8H6x8fbOy06t2VsZHhMHf-1x7Y/edit?usp=sharing"",""แผน!AE79"")"),4)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228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228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hidden="1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IFERROR(__xludf.DUMMYFUNCTION("IMPORTRANGE(""https://docs.google.com/spreadsheets/d/1eHaY18a8A9IcSdp1K8H6x8fbOy06t2VsZHhMHf-1x7Y/edit?usp=sharing"",""แผน!AG79"")"),0)</f>
        <v>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IFERROR(__xludf.DUMMYFUNCTION("IMPORTRANGE(""https://docs.google.com/spreadsheets/d/1eHaY18a8A9IcSdp1K8H6x8fbOy06t2VsZHhMHf-1x7Y/edit?usp=sharing"",""แผน!AH79"")"),0)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IFERROR(__xludf.DUMMYFUNCTION("IMPORTRANGE(""https://docs.google.com/spreadsheets/d/1eHaY18a8A9IcSdp1K8H6x8fbOy06t2VsZHhMHf-1x7Y/edit?usp=sharing"",""แผน!AI79"")"),0)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IFERROR(__xludf.DUMMYFUNCTION("IMPORTRANGE(""https://docs.google.com/spreadsheets/d/1eHaY18a8A9IcSdp1K8H6x8fbOy06t2VsZHhMHf-1x7Y/edit?usp=sharing"",""แผน!LV79"")"),0)</f>
        <v>0</v>
      </c>
      <c r="R206" s="46"/>
      <c r="S206" s="743">
        <v>0</v>
      </c>
      <c r="T206" s="136"/>
      <c r="U206" s="46"/>
    </row>
    <row r="207" spans="1:21" ht="18.75" hidden="1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IFERROR(__xludf.DUMMYFUNCTION("IMPORTRANGE(""https://docs.google.com/spreadsheets/d/1eHaY18a8A9IcSdp1K8H6x8fbOy06t2VsZHhMHf-1x7Y/edit?usp=sharing"",""แผน!AJ79"")"),0)</f>
        <v>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IFERROR(__xludf.DUMMYFUNCTION("IMPORTRANGE(""https://docs.google.com/spreadsheets/d/1eHaY18a8A9IcSdp1K8H6x8fbOy06t2VsZHhMHf-1x7Y/edit?usp=sharing"",""แผน!AK79"")"),0)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IFERROR(__xludf.DUMMYFUNCTION("IMPORTRANGE(""https://docs.google.com/spreadsheets/d/1eHaY18a8A9IcSdp1K8H6x8fbOy06t2VsZHhMHf-1x7Y/edit?usp=sharing"",""แผน!AK79"")"),0)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IFERROR(__xludf.DUMMYFUNCTION("IMPORTRANGE(""https://docs.google.com/spreadsheets/d/1eHaY18a8A9IcSdp1K8H6x8fbOy06t2VsZHhMHf-1x7Y/edit?usp=sharing"",""แผน!AM79"")"),0)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IFERROR(__xludf.DUMMYFUNCTION("IMPORTRANGE(""https://docs.google.com/spreadsheets/d/1eHaY18a8A9IcSdp1K8H6x8fbOy06t2VsZHhMHf-1x7Y/edit?usp=sharing"",""แผน!AN79"")"),0)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IFERROR(__xludf.DUMMYFUNCTION("IMPORTRANGE(""https://docs.google.com/spreadsheets/d/1eHaY18a8A9IcSdp1K8H6x8fbOy06t2VsZHhMHf-1x7Y/edit?usp=sharing"",""แผน!AO79"")"),0)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IFERROR(__xludf.DUMMYFUNCTION("IMPORTRANGE(""https://docs.google.com/spreadsheets/d/1eHaY18a8A9IcSdp1K8H6x8fbOy06t2VsZHhMHf-1x7Y/edit?usp=sharing"",""แผน!LY79"")"),0)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IFERROR(__xludf.DUMMYFUNCTION("IMPORTRANGE(""https://docs.google.com/spreadsheets/d/1eHaY18a8A9IcSdp1K8H6x8fbOy06t2VsZHhMHf-1x7Y/edit?usp=sharing"",""แผน!JX79"")"),0)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IFERROR(__xludf.DUMMYFUNCTION("IMPORTRANGE(""https://docs.google.com/spreadsheets/d/1eHaY18a8A9IcSdp1K8H6x8fbOy06t2VsZHhMHf-1x7Y/edit?usp=sharing"",""แผน!JY79"")"),0)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10000</v>
      </c>
      <c r="K221" s="229">
        <f ca="1">IF(I221&gt;0,J221*100/I221,0)</f>
        <v>100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IFERROR(__xludf.DUMMYFUNCTION("IMPORTRANGE(""https://docs.google.com/spreadsheets/d/1eHaY18a8A9IcSdp1K8H6x8fbOy06t2VsZHhMHf-1x7Y/edit?usp=sharing"",""แผน!AR79"")"),2500)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IFERROR(__xludf.DUMMYFUNCTION("IMPORTRANGE(""https://docs.google.com/spreadsheets/d/1eHaY18a8A9IcSdp1K8H6x8fbOy06t2VsZHhMHf-1x7Y/edit?usp=sharing"",""แผน!AS79"")"),2000)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IFERROR(__xludf.DUMMYFUNCTION("IMPORTRANGE(""https://docs.google.com/spreadsheets/d/1eHaY18a8A9IcSdp1K8H6x8fbOy06t2VsZHhMHf-1x7Y/edit?usp=sharing"",""แผน!AT79"")"),0)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IFERROR(__xludf.DUMMYFUNCTION("IMPORTRANGE(""https://docs.google.com/spreadsheets/d/1eHaY18a8A9IcSdp1K8H6x8fbOy06t2VsZHhMHf-1x7Y/edit?usp=sharing"",""แผน!AV79"")"),10000)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10000</v>
      </c>
      <c r="K229" s="153">
        <f ca="1">IF(I229&gt;0,J229*100/I229,0)</f>
        <v>100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IFERROR(__xludf.DUMMYFUNCTION("IMPORTRANGE(""https://docs.google.com/spreadsheets/d/1eHaY18a8A9IcSdp1K8H6x8fbOy06t2VsZHhMHf-1x7Y/edit?usp=sharing"",""แผน!AU79"")"),0)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IFERROR(__xludf.DUMMYFUNCTION("IMPORTRANGE(""https://docs.google.com/spreadsheets/d/1eHaY18a8A9IcSdp1K8H6x8fbOy06t2VsZHhMHf-1x7Y/edit?usp=sharing"",""แผน!AX79"")"),0)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IFERROR(__xludf.DUMMYFUNCTION("IMPORTRANGE(""https://docs.google.com/spreadsheets/d/1eHaY18a8A9IcSdp1K8H6x8fbOy06t2VsZHhMHf-1x7Y/edit?usp=sharing"",""แผน!AY79"")"),0)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IFERROR(__xludf.DUMMYFUNCTION("IMPORTRANGE(""https://docs.google.com/spreadsheets/d/1eHaY18a8A9IcSdp1K8H6x8fbOy06t2VsZHhMHf-1x7Y/edit?usp=sharing"",""แผน!AZ79"")"),0)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IFERROR(__xludf.DUMMYFUNCTION("IMPORTRANGE(""https://docs.google.com/spreadsheets/d/1eHaY18a8A9IcSdp1K8H6x8fbOy06t2VsZHhMHf-1x7Y/edit?usp=sharing"",""แผน!BA79"")"),0)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IFERROR(__xludf.DUMMYFUNCTION("IMPORTRANGE(""https://docs.google.com/spreadsheets/d/1eHaY18a8A9IcSdp1K8H6x8fbOy06t2VsZHhMHf-1x7Y/edit?usp=sharing"",""แผน!BG79"")"),0)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IFERROR(__xludf.DUMMYFUNCTION("IMPORTRANGE(""https://docs.google.com/spreadsheets/d/1eHaY18a8A9IcSdp1K8H6x8fbOy06t2VsZHhMHf-1x7Y/edit?usp=sharing"",""แผน!BB79"")"),0)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IFERROR(__xludf.DUMMYFUNCTION("IMPORTRANGE(""https://docs.google.com/spreadsheets/d/1eHaY18a8A9IcSdp1K8H6x8fbOy06t2VsZHhMHf-1x7Y/edit?usp=sharing"",""แผน!BC79"")"),0)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IFERROR(__xludf.DUMMYFUNCTION("IMPORTRANGE(""https://docs.google.com/spreadsheets/d/1eHaY18a8A9IcSdp1K8H6x8fbOy06t2VsZHhMHf-1x7Y/edit?usp=sharing"",""แผน!BD79"")"),0)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IFERROR(__xludf.DUMMYFUNCTION("IMPORTRANGE(""https://docs.google.com/spreadsheets/d/1eHaY18a8A9IcSdp1K8H6x8fbOy06t2VsZHhMHf-1x7Y/edit?usp=sharing"",""แผน!BE79"")"),0)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IFERROR(__xludf.DUMMYFUNCTION("IMPORTRANGE(""https://docs.google.com/spreadsheets/d/1eHaY18a8A9IcSdp1K8H6x8fbOy06t2VsZHhMHf-1x7Y/edit?usp=sharing"",""แผน!BH79"")"),0)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20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47880</v>
      </c>
      <c r="R266" s="421">
        <f ca="1">R267+R268</f>
        <v>47880</v>
      </c>
      <c r="S266" s="421">
        <f ca="1">S267+S268</f>
        <v>46770</v>
      </c>
      <c r="T266" s="421">
        <f ca="1">IF(Q266&gt;0,S266*100/Q266,0)</f>
        <v>97.681704260651628</v>
      </c>
      <c r="U266" s="421">
        <f ca="1">IF(R266&gt;0,S266*100/R266,0)</f>
        <v>97.681704260651628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47880</v>
      </c>
      <c r="R268" s="331">
        <f ca="1">R271+R274</f>
        <v>47880</v>
      </c>
      <c r="S268" s="331">
        <f ca="1">S271+S274</f>
        <v>46770</v>
      </c>
      <c r="T268" s="331">
        <f ca="1">IF(Q268&gt;0,S268*100/Q268,0)</f>
        <v>97.681704260651628</v>
      </c>
      <c r="U268" s="331">
        <f ca="1">IF(R268&gt;0,S268*100/R268,0)</f>
        <v>97.681704260651628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47880</v>
      </c>
      <c r="R269" s="331">
        <f ca="1">R270+R271</f>
        <v>47880</v>
      </c>
      <c r="S269" s="331">
        <f ca="1">S270+S271</f>
        <v>46770</v>
      </c>
      <c r="T269" s="331">
        <f ca="1">IF(Q269&gt;0,S269*100/Q269,0)</f>
        <v>97.681704260651628</v>
      </c>
      <c r="U269" s="331">
        <f ca="1">IF(R269&gt;0,S269*100/R269,0)</f>
        <v>97.681704260651628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IFERROR(__xludf.DUMMYFUNCTION("IMPORTRANGE(""https://docs.google.com/spreadsheets/d/1-uDff_7J0KD5mKrp0Vvzr7lt3OU09vwQwhkpOPPYv2Y/edit?usp=sharing"",""งบพรบ!DE79"")"),5000)</f>
        <v>5000</v>
      </c>
      <c r="M271" s="331">
        <f ca="1">IFERROR(__xludf.DUMMYFUNCTION("IMPORTRANGE(""https://docs.google.com/spreadsheets/d/1-uDff_7J0KD5mKrp0Vvzr7lt3OU09vwQwhkpOPPYv2Y/edit?usp=sharing"",""งบพรบ!DJ79"")"),5000)</f>
        <v>5000</v>
      </c>
      <c r="N271" s="331">
        <f ca="1">IFERROR(__xludf.DUMMYFUNCTION("IMPORTRANGE(""https://docs.google.com/spreadsheets/d/1-uDff_7J0KD5mKrp0Vvzr7lt3OU09vwQwhkpOPPYv2Y/edit?usp=sharing"",""งบพรบ!DL79"")"),5000)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IFERROR(__xludf.DUMMYFUNCTION("IMPORTRANGE(""https://docs.google.com/spreadsheets/d/1ItG2mGa2ceCfYo0BwxsXqNm01IGEUdYcSSLTEv9YCik/edit?usp=sharing"",""เบิกจ่ายกองทุน!AP79"")"),47880)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IFERROR(__xludf.DUMMYFUNCTION("IMPORTRANGE(""https://docs.google.com/spreadsheets/d/1ItG2mGa2ceCfYo0BwxsXqNm01IGEUdYcSSLTEv9YCik/edit?usp=sharing"",""เบิกจ่ายกองทุน!AQ79"")"),47880)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IFERROR(__xludf.DUMMYFUNCTION("IMPORTRANGE(""https://docs.google.com/spreadsheets/d/1ItG2mGa2ceCfYo0BwxsXqNm01IGEUdYcSSLTEv9YCik/edit?usp=sharing"",""เบิกจ่ายกองทุน!AR79"")"),46770)</f>
        <v>46770</v>
      </c>
      <c r="T271" s="331">
        <f ca="1">IF(Q271&gt;0,S271*100/Q271,0)</f>
        <v>97.681704260651628</v>
      </c>
      <c r="U271" s="331">
        <f ca="1">IF(R271&gt;0,S271*100/R271,0)</f>
        <v>97.681704260651628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IFERROR(__xludf.DUMMYFUNCTION("IMPORTRANGE(""https://docs.google.com/spreadsheets/d/1-uDff_7J0KD5mKrp0Vvzr7lt3OU09vwQwhkpOPPYv2Y/edit?usp=sharing"",""งบพรบ!DH79"")"),0)</f>
        <v>0</v>
      </c>
      <c r="M274" s="331">
        <f ca="1">IFERROR(__xludf.DUMMYFUNCTION("IMPORTRANGE(""https://docs.google.com/spreadsheets/d/1-uDff_7J0KD5mKrp0Vvzr7lt3OU09vwQwhkpOPPYv2Y/edit?usp=sharing"",""งบพรบ!DK79"")"),0)</f>
        <v>0</v>
      </c>
      <c r="N274" s="331">
        <f ca="1">IFERROR(__xludf.DUMMYFUNCTION("IMPORTRANGE(""https://docs.google.com/spreadsheets/d/1-uDff_7J0KD5mKrp0Vvzr7lt3OU09vwQwhkpOPPYv2Y/edit?usp=sharing"",""งบพรบ!DM79"")"),0)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IFERROR(__xludf.DUMMYFUNCTION("IMPORTRANGE(""https://docs.google.com/spreadsheets/d/1eHaY18a8A9IcSdp1K8H6x8fbOy06t2VsZHhMHf-1x7Y/edit?usp=sharing"",""แผน!EC79"")"),20)</f>
        <v>20</v>
      </c>
      <c r="J276" s="175">
        <v>20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IFERROR(__xludf.DUMMYFUNCTION("IMPORTRANGE(""https://docs.google.com/spreadsheets/d/1eHaY18a8A9IcSdp1K8H6x8fbOy06t2VsZHhMHf-1x7Y/edit?usp=sharing"",""แผน!EE79"")"),0)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IFERROR(__xludf.DUMMYFUNCTION("IMPORTRANGE(""https://docs.google.com/spreadsheets/d/1eHaY18a8A9IcSdp1K8H6x8fbOy06t2VsZHhMHf-1x7Y/edit?usp=sharing"",""แผน!ED79"")"),0)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IFERROR(__xludf.DUMMYFUNCTION("IMPORTRANGE(""https://docs.google.com/spreadsheets/d/1eHaY18a8A9IcSdp1K8H6x8fbOy06t2VsZHhMHf-1x7Y/edit?usp=sharing"",""แผน!ED79"")"),0)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IFERROR(__xludf.DUMMYFUNCTION("IMPORTRANGE(""https://docs.google.com/spreadsheets/d/1ItG2mGa2ceCfYo0BwxsXqNm01IGEUdYcSSLTEv9YCik/edit?usp=sharing"",""เบิกจ่ายกองทุน!BD79"")"),0)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IFERROR(__xludf.DUMMYFUNCTION("IMPORTRANGE(""https://docs.google.com/spreadsheets/d/1eHaY18a8A9IcSdp1K8H6x8fbOy06t2VsZHhMHf-1x7Y/edit?usp=sharing"",""แผน!EF79"")"),0)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IFERROR(__xludf.DUMMYFUNCTION("IMPORTRANGE(""https://docs.google.com/spreadsheets/d/1eHaY18a8A9IcSdp1K8H6x8fbOy06t2VsZHhMHf-1x7Y/edit?usp=sharing"",""แผน!EJ79"")"),0)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200</v>
      </c>
      <c r="J332" s="697">
        <f ca="1">J344+J347+J348+J349+J353+J354</f>
        <v>1068</v>
      </c>
      <c r="K332" s="696">
        <f ca="1">IF(I332&gt;0,J332*100/I332,0)</f>
        <v>534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276500</v>
      </c>
      <c r="M333" s="132">
        <f ca="1">M334+M335</f>
        <v>276500</v>
      </c>
      <c r="N333" s="132">
        <f ca="1">N334+N335</f>
        <v>207169.53</v>
      </c>
      <c r="O333" s="132">
        <f ca="1">IF(L333&gt;0,N333*100/L333,0)</f>
        <v>74.925688969258587</v>
      </c>
      <c r="P333" s="132">
        <f ca="1">IF(M333&gt;0,N333*100/M333,0)</f>
        <v>74.925688969258587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276500</v>
      </c>
      <c r="M335" s="47">
        <f ca="1">M338+M341</f>
        <v>276500</v>
      </c>
      <c r="N335" s="47">
        <f ca="1">N338+N341</f>
        <v>207169.53</v>
      </c>
      <c r="O335" s="47">
        <f ca="1">IF(L335&gt;0,N335*100/L335,0)</f>
        <v>74.925688969258587</v>
      </c>
      <c r="P335" s="47">
        <f ca="1">IF(M335&gt;0,N335*100/M335,0)</f>
        <v>74.925688969258587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276500</v>
      </c>
      <c r="M336" s="47">
        <f ca="1">M337+M338</f>
        <v>276500</v>
      </c>
      <c r="N336" s="47">
        <f ca="1">N337+N338</f>
        <v>207169.53</v>
      </c>
      <c r="O336" s="47">
        <f ca="1">IF(L336&gt;0,N336*100/L336,0)</f>
        <v>74.925688969258587</v>
      </c>
      <c r="P336" s="47">
        <f ca="1">IF(M336&gt;0,N336*100/M336,0)</f>
        <v>74.925688969258587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IFERROR(__xludf.DUMMYFUNCTION("IMPORTRANGE(""https://docs.google.com/spreadsheets/d/1-uDff_7J0KD5mKrp0Vvzr7lt3OU09vwQwhkpOPPYv2Y/edit?usp=sharing"",""งบพรบ!ES79"")"),276500)</f>
        <v>276500</v>
      </c>
      <c r="M338" s="47">
        <f ca="1">IFERROR(__xludf.DUMMYFUNCTION("IMPORTRANGE(""https://docs.google.com/spreadsheets/d/1-uDff_7J0KD5mKrp0Vvzr7lt3OU09vwQwhkpOPPYv2Y/edit?usp=sharing"",""งบพรบ!EX79"")"),276500)</f>
        <v>276500</v>
      </c>
      <c r="N338" s="47">
        <f ca="1">IFERROR(__xludf.DUMMYFUNCTION("IMPORTRANGE(""https://docs.google.com/spreadsheets/d/1-uDff_7J0KD5mKrp0Vvzr7lt3OU09vwQwhkpOPPYv2Y/edit?usp=sharing"",""งบพรบ!EZ79"")"),207169.53)</f>
        <v>207169.53</v>
      </c>
      <c r="O338" s="47">
        <f ca="1">IF(L338&gt;0,N338*100/L338,0)</f>
        <v>74.925688969258587</v>
      </c>
      <c r="P338" s="47">
        <f ca="1">IF(M338&gt;0,N338*100/M338,0)</f>
        <v>74.925688969258587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473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IFERROR(__xludf.DUMMYFUNCTION("IMPORTRANGE(""https://docs.google.com/spreadsheets/d/1eHaY18a8A9IcSdp1K8H6x8fbOy06t2VsZHhMHf-1x7Y/edit?usp=sharing"",""แผน!EK79"")"),200)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IFERROR(__xludf.DUMMYFUNCTION("IMPORTRANGE(""https://docs.google.com/spreadsheets/d/1awYsYK3VOup2i3Pq_Yjnu8DRu_mYwSBnCR2QPthd0rU/edit?usp=sharing"",""ศูนย์ยกเว้นโฉนด!D79"")"),328)</f>
        <v>328</v>
      </c>
      <c r="K344" s="47">
        <f ca="1">IF(I344&gt;0,J344*100/I344,0)</f>
        <v>164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IFERROR(__xludf.DUMMYFUNCTION("IMPORTRANGE(""https://docs.google.com/spreadsheets/d/1eHaY18a8A9IcSdp1K8H6x8fbOy06t2VsZHhMHf-1x7Y/edit?usp=sharing"",""แผน!EL79"")"),1)</f>
        <v>1</v>
      </c>
      <c r="J346" s="152">
        <f ca="1">IFERROR(__xludf.DUMMYFUNCTION("IMPORTRANGE(""https://docs.google.com/spreadsheets/d/1awYsYK3VOup2i3Pq_Yjnu8DRu_mYwSBnCR2QPthd0rU/edit?usp=sharing"",""ศูนย์รวม!E79"")"),2)</f>
        <v>2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IFERROR(__xludf.DUMMYFUNCTION("IMPORTRANGE(""https://docs.google.com/spreadsheets/d/1awYsYK3VOup2i3Pq_Yjnu8DRu_mYwSBnCR2QPthd0rU/edit?usp=sharing"",""ศูนย์ยกเว้นโฉนด!F79"")"),137)</f>
        <v>137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IFERROR(__xludf.DUMMYFUNCTION("IMPORTRANGE(""https://docs.google.com/spreadsheets/d/1awYsYK3VOup2i3Pq_Yjnu8DRu_mYwSBnCR2QPthd0rU/edit?usp=sharing"",""ศูนย์ยกเว้นโฉนด!G79"")"),8)</f>
        <v>8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J352+J353+J354</f>
        <v>595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IFERROR(__xludf.DUMMYFUNCTION("IMPORTRANGE(""https://docs.google.com/spreadsheets/d/1awYsYK3VOup2i3Pq_Yjnu8DRu_mYwSBnCR2QPthd0rU/edit?usp=sharing"",""โฉนดM3!G79"")"),0)</f>
        <v>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IFERROR(__xludf.DUMMYFUNCTION("IMPORTRANGE(""https://docs.google.com/spreadsheets/d/1awYsYK3VOup2i3Pq_Yjnu8DRu_mYwSBnCR2QPthd0rU/edit?usp=sharing"",""โฉนดM3!H79"")"),331)</f>
        <v>331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217"/>
      <c r="B354" s="41"/>
      <c r="C354" s="159"/>
      <c r="D354" s="317"/>
      <c r="E354" s="149" t="s">
        <v>320</v>
      </c>
      <c r="F354" s="41"/>
      <c r="G354" s="43"/>
      <c r="H354" s="133" t="s">
        <v>35</v>
      </c>
      <c r="I354" s="45"/>
      <c r="J354" s="874">
        <f ca="1">IFERROR(__xludf.DUMMYFUNCTION("IMPORTRANGE(""https://docs.google.com/spreadsheets/d/1awYsYK3VOup2i3Pq_Yjnu8DRu_mYwSBnCR2QPthd0rU/edit?usp=sharing"",""โฉนดM3!I79"")"),264)</f>
        <v>264</v>
      </c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396190</v>
      </c>
      <c r="M356" s="132">
        <f ca="1">M357+M358</f>
        <v>439190</v>
      </c>
      <c r="N356" s="132">
        <f ca="1">N357+N358</f>
        <v>304435</v>
      </c>
      <c r="O356" s="132">
        <f ca="1">IF(L356&gt;0,N356*100/L356,0)</f>
        <v>76.840657260405365</v>
      </c>
      <c r="P356" s="132">
        <f ca="1">IF(M356&gt;0,N356*100/M356,0)</f>
        <v>69.317379721760517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396190</v>
      </c>
      <c r="M358" s="47">
        <f ca="1">M361+M364</f>
        <v>439190</v>
      </c>
      <c r="N358" s="47">
        <f ca="1">N361+N364</f>
        <v>304435</v>
      </c>
      <c r="O358" s="47">
        <f ca="1">IF(L358&gt;0,N358*100/L358,0)</f>
        <v>76.840657260405365</v>
      </c>
      <c r="P358" s="47">
        <f ca="1">IF(M358&gt;0,N358*100/M358,0)</f>
        <v>69.317379721760517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396190</v>
      </c>
      <c r="M359" s="47">
        <f ca="1">M360+M361</f>
        <v>439190</v>
      </c>
      <c r="N359" s="47">
        <f ca="1">N360+N361</f>
        <v>304435</v>
      </c>
      <c r="O359" s="47">
        <f ca="1">IF(L359&gt;0,N359*100/L359,0)</f>
        <v>76.840657260405365</v>
      </c>
      <c r="P359" s="47">
        <f ca="1">IF(M359&gt;0,N359*100/M359,0)</f>
        <v>69.317379721760517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IFERROR(__xludf.DUMMYFUNCTION("IMPORTRANGE(""https://docs.google.com/spreadsheets/d/1-uDff_7J0KD5mKrp0Vvzr7lt3OU09vwQwhkpOPPYv2Y/edit?usp=sharing"",""งบพรบ!FC79"")"),396190)</f>
        <v>396190</v>
      </c>
      <c r="M361" s="47">
        <f ca="1">IFERROR(__xludf.DUMMYFUNCTION("IMPORTRANGE(""https://docs.google.com/spreadsheets/d/1-uDff_7J0KD5mKrp0Vvzr7lt3OU09vwQwhkpOPPYv2Y/edit?usp=sharing"",""งบพรบ!FH79"")"),439190)</f>
        <v>439190</v>
      </c>
      <c r="N361" s="47">
        <f ca="1">IFERROR(__xludf.DUMMYFUNCTION("IMPORTRANGE(""https://docs.google.com/spreadsheets/d/1-uDff_7J0KD5mKrp0Vvzr7lt3OU09vwQwhkpOPPYv2Y/edit?usp=sharing"",""งบพรบ!FJ79"")"),304435)</f>
        <v>304435</v>
      </c>
      <c r="O361" s="47">
        <f ca="1">IF(L361&gt;0,N361*100/L361,0)</f>
        <v>76.840657260405365</v>
      </c>
      <c r="P361" s="47">
        <f ca="1">IF(M361&gt;0,N361*100/M361,0)</f>
        <v>69.317379721760517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36</v>
      </c>
      <c r="J365" s="228">
        <f ca="1">J371</f>
        <v>29</v>
      </c>
      <c r="K365" s="229">
        <f ca="1">IF(I365&gt;0,J365*100/I365,0)</f>
        <v>80.555555555555557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IFERROR(__xludf.DUMMYFUNCTION("IMPORTRANGE(""https://docs.google.com/spreadsheets/d/1tdoBKaGub7dwA3U6UFTqxio9LNnvDCQjHKmttSEBsFQ/edit?usp=sharing"",""จัดที่ดิน!AB79"")"),31)</f>
        <v>31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IFERROR(__xludf.DUMMYFUNCTION("IMPORTRANGE(""https://docs.google.com/spreadsheets/d/1eHaY18a8A9IcSdp1K8H6x8fbOy06t2VsZHhMHf-1x7Y/edit?usp=sharing"",""แผน!EW79"")"),70)</f>
        <v>70</v>
      </c>
      <c r="J368" s="685">
        <f ca="1">IFERROR(__xludf.DUMMYFUNCTION("IMPORTRANGE(""https://docs.google.com/spreadsheets/d/1tdoBKaGub7dwA3U6UFTqxio9LNnvDCQjHKmttSEBsFQ/edit?usp=sharing"",""จัดที่ดิน!AC79"")"),81.37)</f>
        <v>81.37</v>
      </c>
      <c r="K368" s="47">
        <f ca="1">IF(I368&gt;0,J368*100/I368,0)</f>
        <v>116.24285714285715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IFERROR(__xludf.DUMMYFUNCTION("IMPORTRANGE(""https://docs.google.com/spreadsheets/d/1eHaY18a8A9IcSdp1K8H6x8fbOy06t2VsZHhMHf-1x7Y/edit?usp=sharing"",""แผน!EX79"")"),36)</f>
        <v>36</v>
      </c>
      <c r="J369" s="152">
        <f ca="1">IFERROR(__xludf.DUMMYFUNCTION("IMPORTRANGE(""https://docs.google.com/spreadsheets/d/1tdoBKaGub7dwA3U6UFTqxio9LNnvDCQjHKmttSEBsFQ/edit?usp=sharing"",""จัดที่ดิน!AD79"")"),42)</f>
        <v>42</v>
      </c>
      <c r="K369" s="47">
        <f ca="1">IF(I369&gt;0,J369*100/I369,0)</f>
        <v>116.66666666666667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IFERROR(__xludf.DUMMYFUNCTION("IMPORTRANGE(""https://docs.google.com/spreadsheets/d/1tdoBKaGub7dwA3U6UFTqxio9LNnvDCQjHKmttSEBsFQ/edit?usp=sharing"",""จัดที่ดิน!AE79"")"),156.36)</f>
        <v>156.36000000000001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IFERROR(__xludf.DUMMYFUNCTION("IMPORTRANGE(""https://docs.google.com/spreadsheets/d/1eHaY18a8A9IcSdp1K8H6x8fbOy06t2VsZHhMHf-1x7Y/edit?usp=sharing"",""แผน!EY79"")"),36)</f>
        <v>36</v>
      </c>
      <c r="J371" s="152">
        <f ca="1">IFERROR(__xludf.DUMMYFUNCTION("IMPORTRANGE(""https://docs.google.com/spreadsheets/d/1tdoBKaGub7dwA3U6UFTqxio9LNnvDCQjHKmttSEBsFQ/edit?usp=sharing"",""จัดที่ดิน!AF79"")"),29)</f>
        <v>29</v>
      </c>
      <c r="K371" s="47">
        <f ca="1">IF(I371&gt;0,J371*100/I371,0)</f>
        <v>80.555555555555557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IFERROR(__xludf.DUMMYFUNCTION("IMPORTRANGE(""https://docs.google.com/spreadsheets/d/1tdoBKaGub7dwA3U6UFTqxio9LNnvDCQjHKmttSEBsFQ/edit?usp=sharing"",""จัดที่ดิน!AG79"")"),136.39)</f>
        <v>136.38999999999999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182</v>
      </c>
      <c r="K374" s="676">
        <f ca="1">IF(I374&gt;0,J374*100/I374,0)</f>
        <v>18.2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21959.94</v>
      </c>
      <c r="T375" s="132">
        <f ca="1">IF(Q375&gt;0,S375*100/Q375,0)</f>
        <v>35.135903999999996</v>
      </c>
      <c r="U375" s="132">
        <f ca="1">IF(R375&gt;0,S375*100/R375,0)</f>
        <v>35.135903999999996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21959.94</v>
      </c>
      <c r="T377" s="47">
        <f ca="1">IF(Q377&gt;0,S377*100/Q377,0)</f>
        <v>35.135903999999996</v>
      </c>
      <c r="U377" s="47">
        <f ca="1">IF(R377&gt;0,S377*100/R377,0)</f>
        <v>35.135903999999996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21959.94</v>
      </c>
      <c r="T378" s="47">
        <f ca="1">IF(Q378&gt;0,S378*100/Q378,0)</f>
        <v>35.135903999999996</v>
      </c>
      <c r="U378" s="47">
        <f ca="1">IF(R378&gt;0,S378*100/R378,0)</f>
        <v>35.135903999999996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IFERROR(__xludf.DUMMYFUNCTION("IMPORTRANGE(""https://docs.google.com/spreadsheets/d/1-uDff_7J0KD5mKrp0Vvzr7lt3OU09vwQwhkpOPPYv2Y/edit?usp=sharing"",""งบพรบ!IE79"")"),0)</f>
        <v>0</v>
      </c>
      <c r="M380" s="47">
        <f ca="1">IFERROR(__xludf.DUMMYFUNCTION("IMPORTRANGE(""https://docs.google.com/spreadsheets/d/1-uDff_7J0KD5mKrp0Vvzr7lt3OU09vwQwhkpOPPYv2Y/edit?usp=sharing"",""งบพรบ!IJ79"")"),0)</f>
        <v>0</v>
      </c>
      <c r="N380" s="47">
        <f ca="1">IFERROR(__xludf.DUMMYFUNCTION("IMPORTRANGE(""https://docs.google.com/spreadsheets/d/1-uDff_7J0KD5mKrp0Vvzr7lt3OU09vwQwhkpOPPYv2Y/edit?usp=sharing"",""งบพรบ!IL79"")"),0)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IFERROR(__xludf.DUMMYFUNCTION("IMPORTRANGE(""https://docs.google.com/spreadsheets/d/1ItG2mGa2ceCfYo0BwxsXqNm01IGEUdYcSSLTEv9YCik/edit?usp=sharing"",""เบิกจ่ายกองทุน!BX79"")"),62500)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IFERROR(__xludf.DUMMYFUNCTION("IMPORTRANGE(""https://docs.google.com/spreadsheets/d/1ItG2mGa2ceCfYo0BwxsXqNm01IGEUdYcSSLTEv9YCik/edit?usp=sharing"",""เบิกจ่ายกองทุน!BY79"")"),21959.94)</f>
        <v>21959.94</v>
      </c>
      <c r="T380" s="47">
        <f ca="1">IF(Q380&gt;0,S380*100/Q380,0)</f>
        <v>35.135903999999996</v>
      </c>
      <c r="U380" s="47">
        <f ca="1">IF(R380&gt;0,S380*100/R380,0)</f>
        <v>35.135903999999996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IFERROR(__xludf.DUMMYFUNCTION("IMPORTRANGE(""https://docs.google.com/spreadsheets/d/1-uDff_7J0KD5mKrp0Vvzr7lt3OU09vwQwhkpOPPYv2Y/edit?usp=sharing"",""งบพรบ!IH79"")"),0)</f>
        <v>0</v>
      </c>
      <c r="M383" s="47">
        <f ca="1">IFERROR(__xludf.DUMMYFUNCTION("IMPORTRANGE(""https://docs.google.com/spreadsheets/d/1-uDff_7J0KD5mKrp0Vvzr7lt3OU09vwQwhkpOPPYv2Y/edit?usp=sharing"",""งบพรบ!IK79"")"),0)</f>
        <v>0</v>
      </c>
      <c r="N383" s="47">
        <f ca="1">IFERROR(__xludf.DUMMYFUNCTION("IMPORTRANGE(""https://docs.google.com/spreadsheets/d/1-uDff_7J0KD5mKrp0Vvzr7lt3OU09vwQwhkpOPPYv2Y/edit?usp=sharing"",""งบพรบ!IM79"")"),0)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IFERROR(__xludf.DUMMYFUNCTION("IMPORTRANGE(""https://docs.google.com/spreadsheets/d/1w5rwWK1o49a35cNtocGL0gxDwhFSTZUQu90BiH9_zqM/edit?usp=sharing"",""RTK!H79"")"),56)</f>
        <v>56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IFERROR(__xludf.DUMMYFUNCTION("IMPORTRANGE(""https://docs.google.com/spreadsheets/d/1w5rwWK1o49a35cNtocGL0gxDwhFSTZUQu90BiH9_zqM/edit?usp=sharing"",""RTK!G79"")"),1000)</f>
        <v>1000</v>
      </c>
      <c r="J386" s="152">
        <f ca="1">IFERROR(__xludf.DUMMYFUNCTION("IMPORTRANGE(""https://docs.google.com/spreadsheets/d/1w5rwWK1o49a35cNtocGL0gxDwhFSTZUQu90BiH9_zqM/edit?usp=sharing"",""RTK!I79"")"),182)</f>
        <v>182</v>
      </c>
      <c r="K386" s="47">
        <f ca="1">IF(I386&gt;0,J386*100/I386,0)</f>
        <v>18.2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IFERROR(__xludf.DUMMYFUNCTION("IMPORTRANGE(""https://docs.google.com/spreadsheets/d/1w5rwWK1o49a35cNtocGL0gxDwhFSTZUQu90BiH9_zqM/edit?usp=sharing"",""RTK!L79"")"),0)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IFERROR(__xludf.DUMMYFUNCTION("IMPORTRANGE(""https://docs.google.com/spreadsheets/d/1w5rwWK1o49a35cNtocGL0gxDwhFSTZUQu90BiH9_zqM/edit?usp=sharing"",""RTK!K79"")"),0)</f>
        <v>0</v>
      </c>
      <c r="J388" s="330">
        <f ca="1">IFERROR(__xludf.DUMMYFUNCTION("IMPORTRANGE(""https://docs.google.com/spreadsheets/d/1w5rwWK1o49a35cNtocGL0gxDwhFSTZUQu90BiH9_zqM/edit?usp=sharing"",""RTK!M79"")"),0)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IFERROR(__xludf.DUMMYFUNCTION("IMPORTRANGE(""https://docs.google.com/spreadsheets/d/1ItG2mGa2ceCfYo0BwxsXqNm01IGEUdYcSSLTEv9YCik/edit?usp=sharing"",""เบิกจ่ายกองทุน!CL79"")"),0)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IFERROR(__xludf.DUMMYFUNCTION("IMPORTRANGE(""https://docs.google.com/spreadsheets/d/1ItG2mGa2ceCfYo0BwxsXqNm01IGEUdYcSSLTEv9YCik/edit?usp=sharing"",""เบิกจ่ายกองทุน!CM79"")"),0)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IFERROR(__xludf.DUMMYFUNCTION("IMPORTRANGE(""https://docs.google.com/spreadsheets/d/1ItG2mGa2ceCfYo0BwxsXqNm01IGEUdYcSSLTEv9YCik/edit?usp=sharing"",""เบิกจ่ายกองทุน!CN79"")"),0)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3577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192020</v>
      </c>
      <c r="M413" s="132">
        <f ca="1">M414+M415</f>
        <v>192020</v>
      </c>
      <c r="N413" s="132">
        <f ca="1">N414+N415</f>
        <v>80077.039999999994</v>
      </c>
      <c r="O413" s="132">
        <f ca="1">IF(L413&gt;0,N413*100/L413,0)</f>
        <v>41.702447661701903</v>
      </c>
      <c r="P413" s="132">
        <f ca="1">IF(M413&gt;0,N413*100/M413,0)</f>
        <v>41.702447661701903</v>
      </c>
      <c r="Q413" s="132">
        <f ca="1">Q414+Q415</f>
        <v>26400</v>
      </c>
      <c r="R413" s="132">
        <f ca="1">R414+R415</f>
        <v>26400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192020</v>
      </c>
      <c r="M415" s="47">
        <f ca="1">M418+M421</f>
        <v>192020</v>
      </c>
      <c r="N415" s="47">
        <f ca="1">N418+N421</f>
        <v>80077.039999999994</v>
      </c>
      <c r="O415" s="47">
        <f ca="1">IF(L415&gt;0,N415*100/L415,0)</f>
        <v>41.702447661701903</v>
      </c>
      <c r="P415" s="47">
        <f ca="1">IF(M415&gt;0,N415*100/M415,0)</f>
        <v>41.702447661701903</v>
      </c>
      <c r="Q415" s="47">
        <f ca="1">Q418+Q421</f>
        <v>26400</v>
      </c>
      <c r="R415" s="47">
        <f ca="1">R418+R421</f>
        <v>26400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192020</v>
      </c>
      <c r="M416" s="47">
        <f ca="1">M417+M418</f>
        <v>192020</v>
      </c>
      <c r="N416" s="47">
        <f ca="1">N417+N418</f>
        <v>80077.039999999994</v>
      </c>
      <c r="O416" s="47">
        <f ca="1">IF(L416&gt;0,N416*100/L416,0)</f>
        <v>41.702447661701903</v>
      </c>
      <c r="P416" s="47">
        <f ca="1">IF(M416&gt;0,N416*100/M416,0)</f>
        <v>41.702447661701903</v>
      </c>
      <c r="Q416" s="47">
        <f ca="1">Q417+Q418</f>
        <v>26400</v>
      </c>
      <c r="R416" s="47">
        <f ca="1">R417+R418</f>
        <v>26400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IFERROR(__xludf.DUMMYFUNCTION("IMPORTRANGE(""https://docs.google.com/spreadsheets/d/1-uDff_7J0KD5mKrp0Vvzr7lt3OU09vwQwhkpOPPYv2Y/edit?usp=sharing"",""งบพรบ!IO79"")"),192020)</f>
        <v>192020</v>
      </c>
      <c r="M418" s="47">
        <f ca="1">IFERROR(__xludf.DUMMYFUNCTION("IMPORTRANGE(""https://docs.google.com/spreadsheets/d/1-uDff_7J0KD5mKrp0Vvzr7lt3OU09vwQwhkpOPPYv2Y/edit?usp=sharing"",""งบพรบ!IT79"")"),192020)</f>
        <v>192020</v>
      </c>
      <c r="N418" s="47">
        <f ca="1">IFERROR(__xludf.DUMMYFUNCTION("IMPORTRANGE(""https://docs.google.com/spreadsheets/d/1-uDff_7J0KD5mKrp0Vvzr7lt3OU09vwQwhkpOPPYv2Y/edit?usp=sharing"",""งบพรบ!IV79"")"),80077.04)</f>
        <v>80077.039999999994</v>
      </c>
      <c r="O418" s="47">
        <f ca="1">IF(L418&gt;0,N418*100/L418,0)</f>
        <v>41.702447661701903</v>
      </c>
      <c r="P418" s="47">
        <f ca="1">IF(M418&gt;0,N418*100/M418,0)</f>
        <v>41.702447661701903</v>
      </c>
      <c r="Q418" s="47">
        <f ca="1">IFERROR(__xludf.DUMMYFUNCTION("IMPORTRANGE(""https://docs.google.com/spreadsheets/d/1ItG2mGa2ceCfYo0BwxsXqNm01IGEUdYcSSLTEv9YCik/edit?usp=sharing"",""เบิกจ่ายกองทุน!BZ79"")"),26400)</f>
        <v>26400</v>
      </c>
      <c r="R418" s="47">
        <f ca="1">IFERROR(__xludf.DUMMYFUNCTION("IMPORTRANGE(""https://docs.google.com/spreadsheets/d/1ItG2mGa2ceCfYo0BwxsXqNm01IGEUdYcSSLTEv9YCik/edit?usp=sharing"",""เบิกจ่ายกองทุน!CA79"")"),26400)</f>
        <v>26400</v>
      </c>
      <c r="S418" s="47">
        <f ca="1">IFERROR(__xludf.DUMMYFUNCTION("IMPORTRANGE(""https://docs.google.com/spreadsheets/d/1ItG2mGa2ceCfYo0BwxsXqNm01IGEUdYcSSLTEv9YCik/edit?usp=sharing"",""เบิกจ่ายกองทุน!CB79"")"),0)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IFERROR(__xludf.DUMMYFUNCTION("IMPORTRANGE(""https://docs.google.com/spreadsheets/d/1-uDff_7J0KD5mKrp0Vvzr7lt3OU09vwQwhkpOPPYv2Y/edit?usp=sharing"",""งบพรบ!IR79"")"),0)</f>
        <v>0</v>
      </c>
      <c r="M421" s="47">
        <f ca="1">IFERROR(__xludf.DUMMYFUNCTION("IMPORTRANGE(""https://docs.google.com/spreadsheets/d/1-uDff_7J0KD5mKrp0Vvzr7lt3OU09vwQwhkpOPPYv2Y/edit?usp=sharing"",""งบพรบ!IU79"")"),0)</f>
        <v>0</v>
      </c>
      <c r="N421" s="47">
        <f ca="1">IFERROR(__xludf.DUMMYFUNCTION("IMPORTRANGE(""https://docs.google.com/spreadsheets/d/1-uDff_7J0KD5mKrp0Vvzr7lt3OU09vwQwhkpOPPYv2Y/edit?usp=sharing"",""งบพรบ!IW79"")"),0)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3577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IFERROR(__xludf.DUMMYFUNCTION("IMPORTRANGE(""https://docs.google.com/spreadsheets/d/1eHaY18a8A9IcSdp1K8H6x8fbOy06t2VsZHhMHf-1x7Y/edit?usp=sharing"",""แผน!HJ79"")"),3577)</f>
        <v>3577</v>
      </c>
      <c r="J424" s="669">
        <f>J426+J428+J430</f>
        <v>54</v>
      </c>
      <c r="K424" s="132">
        <f ca="1">IF(I424&gt;0,J424*100/I424,0)</f>
        <v>1.5096449538719598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IFERROR(__xludf.DUMMYFUNCTION("IMPORTRANGE(""https://docs.google.com/spreadsheets/d/1eHaY18a8A9IcSdp1K8H6x8fbOy06t2VsZHhMHf-1x7Y/edit?usp=sharing"",""แผน!HK79"")"),825)</f>
        <v>825</v>
      </c>
      <c r="J425" s="669">
        <f>J427+J429+J431</f>
        <v>22</v>
      </c>
      <c r="K425" s="132">
        <f ca="1">IF(I425&gt;0,J425*100/I425,0)</f>
        <v>2.6666666666666665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54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22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IFERROR(__xludf.DUMMYFUNCTION("IMPORTRANGE(""https://docs.google.com/spreadsheets/d/1eHaY18a8A9IcSdp1K8H6x8fbOy06t2VsZHhMHf-1x7Y/edit?usp=sharing"",""แผน!HJ79"")"),3577)</f>
        <v>3577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IFERROR(__xludf.DUMMYFUNCTION("IMPORTRANGE(""https://docs.google.com/spreadsheets/d/1eHaY18a8A9IcSdp1K8H6x8fbOy06t2VsZHhMHf-1x7Y/edit?usp=sharing"",""แผน!HK79"")"),825)</f>
        <v>825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IFERROR(__xludf.DUMMYFUNCTION("IMPORTRANGE(""https://docs.google.com/spreadsheets/d/1eHaY18a8A9IcSdp1K8H6x8fbOy06t2VsZHhMHf-1x7Y/edit?usp=sharing"",""แผน!HJ79"")"),3577)</f>
        <v>3577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IFERROR(__xludf.DUMMYFUNCTION("IMPORTRANGE(""https://docs.google.com/spreadsheets/d/1eHaY18a8A9IcSdp1K8H6x8fbOy06t2VsZHhMHf-1x7Y/edit?usp=sharing"",""แผน!HK79"")"),825)</f>
        <v>825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IFERROR(__xludf.DUMMYFUNCTION("IMPORTRANGE(""https://docs.google.com/spreadsheets/d/1eHaY18a8A9IcSdp1K8H6x8fbOy06t2VsZHhMHf-1x7Y/edit?usp=sharing"",""แผน!HL79"")"),0)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IFERROR(__xludf.DUMMYFUNCTION("IMPORTRANGE(""https://docs.google.com/spreadsheets/d/1eHaY18a8A9IcSdp1K8H6x8fbOy06t2VsZHhMHf-1x7Y/edit?usp=sharing"",""แผน!HM79"")"),0)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IFERROR(__xludf.DUMMYFUNCTION("IMPORTRANGE(""https://docs.google.com/spreadsheets/d/1-uDff_7J0KD5mKrp0Vvzr7lt3OU09vwQwhkpOPPYv2Y/edit?usp=sharing"",""งบพรบ!HU79"")"),0)</f>
        <v>0</v>
      </c>
      <c r="M498" s="47">
        <f ca="1">IFERROR(__xludf.DUMMYFUNCTION("IMPORTRANGE(""https://docs.google.com/spreadsheets/d/1-uDff_7J0KD5mKrp0Vvzr7lt3OU09vwQwhkpOPPYv2Y/edit?usp=sharing"",""งบพรบ!HZ79"")"),0)</f>
        <v>0</v>
      </c>
      <c r="N498" s="47">
        <f ca="1">IFERROR(__xludf.DUMMYFUNCTION("IMPORTRANGE(""https://docs.google.com/spreadsheets/d/1-uDff_7J0KD5mKrp0Vvzr7lt3OU09vwQwhkpOPPYv2Y/edit?usp=sharing"",""งบพรบ!IB79"")"),0)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IFERROR(__xludf.DUMMYFUNCTION("IMPORTRANGE(""https://docs.google.com/spreadsheets/d/1ItG2mGa2ceCfYo0BwxsXqNm01IGEUdYcSSLTEv9YCik/edit?usp=sharing"",""เบิกจ่ายกองทุน!AF79"")"),0)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IFERROR(__xludf.DUMMYFUNCTION("IMPORTRANGE(""https://docs.google.com/spreadsheets/d/1-uDff_7J0KD5mKrp0Vvzr7lt3OU09vwQwhkpOPPYv2Y/edit?usp=sharing"",""งบพรบ!HX79"")"),0)</f>
        <v>0</v>
      </c>
      <c r="M501" s="47">
        <f ca="1">IFERROR(__xludf.DUMMYFUNCTION("IMPORTRANGE(""https://docs.google.com/spreadsheets/d/1-uDff_7J0KD5mKrp0Vvzr7lt3OU09vwQwhkpOPPYv2Y/edit?usp=sharing"",""งบพรบ!IA79"")"),0)</f>
        <v>0</v>
      </c>
      <c r="N501" s="47">
        <f ca="1">IFERROR(__xludf.DUMMYFUNCTION("IMPORTRANGE(""https://docs.google.com/spreadsheets/d/1-uDff_7J0KD5mKrp0Vvzr7lt3OU09vwQwhkpOPPYv2Y/edit?usp=sharing"",""งบพรบ!IC79"")"),0)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IFERROR(__xludf.DUMMYFUNCTION("IMPORTRANGE(""https://docs.google.com/spreadsheets/d/1eHaY18a8A9IcSdp1K8H6x8fbOy06t2VsZHhMHf-1x7Y/edit?usp=sharing"",""แผน!GX79"")"),0)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IFERROR(__xludf.DUMMYFUNCTION("IMPORTRANGE(""https://docs.google.com/spreadsheets/d/1eHaY18a8A9IcSdp1K8H6x8fbOy06t2VsZHhMHf-1x7Y/edit?usp=sharing"",""แผน!GY79"")"),0)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IFERROR(__xludf.DUMMYFUNCTION("IMPORTRANGE(""https://docs.google.com/spreadsheets/d/1eHaY18a8A9IcSdp1K8H6x8fbOy06t2VsZHhMHf-1x7Y/edit?usp=sharing"",""แผน!GZ79"")"),0)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IFERROR(__xludf.DUMMYFUNCTION("IMPORTRANGE(""https://docs.google.com/spreadsheets/d/1eHaY18a8A9IcSdp1K8H6x8fbOy06t2VsZHhMHf-1x7Y/edit?usp=sharing"",""แผน!HA79"")"),0)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IFERROR(__xludf.DUMMYFUNCTION("IMPORTRANGE(""https://docs.google.com/spreadsheets/d/1eHaY18a8A9IcSdp1K8H6x8fbOy06t2VsZHhMHf-1x7Y/edit?usp=sharing"",""แผน!HB79"")"),0)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IFERROR(__xludf.DUMMYFUNCTION("IMPORTRANGE(""https://docs.google.com/spreadsheets/d/1eHaY18a8A9IcSdp1K8H6x8fbOy06t2VsZHhMHf-1x7Y/edit?usp=sharing"",""แผน!HC79"")"),0)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IFERROR(__xludf.DUMMYFUNCTION("IMPORTRANGE(""https://docs.google.com/spreadsheets/d/1-uDff_7J0KD5mKrp0Vvzr7lt3OU09vwQwhkpOPPYv2Y/edit?usp=sharing"",""งบพรบ!FW79"")"),0)</f>
        <v>0</v>
      </c>
      <c r="M539" s="47">
        <f ca="1">IFERROR(__xludf.DUMMYFUNCTION("IMPORTRANGE(""https://docs.google.com/spreadsheets/d/1-uDff_7J0KD5mKrp0Vvzr7lt3OU09vwQwhkpOPPYv2Y/edit?usp=sharing"",""งบพรบ!GB79"")"),0)</f>
        <v>0</v>
      </c>
      <c r="N539" s="47">
        <f ca="1">IFERROR(__xludf.DUMMYFUNCTION("IMPORTRANGE(""https://docs.google.com/spreadsheets/d/1-uDff_7J0KD5mKrp0Vvzr7lt3OU09vwQwhkpOPPYv2Y/edit?usp=sharing"",""งบพรบ!GD79"")"),0)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IFERROR(__xludf.DUMMYFUNCTION("IMPORTRANGE(""https://docs.google.com/spreadsheets/d/1-uDff_7J0KD5mKrp0Vvzr7lt3OU09vwQwhkpOPPYv2Y/edit?usp=sharing"",""งบพรบ!FZ79"")"),0)</f>
        <v>0</v>
      </c>
      <c r="M542" s="47">
        <f ca="1">IFERROR(__xludf.DUMMYFUNCTION("IMPORTRANGE(""https://docs.google.com/spreadsheets/d/1-uDff_7J0KD5mKrp0Vvzr7lt3OU09vwQwhkpOPPYv2Y/edit?usp=sharing"",""งบพรบ!GC79"")"),0)</f>
        <v>0</v>
      </c>
      <c r="N542" s="47">
        <f ca="1">IFERROR(__xludf.DUMMYFUNCTION("IMPORTRANGE(""https://docs.google.com/spreadsheets/d/1-uDff_7J0KD5mKrp0Vvzr7lt3OU09vwQwhkpOPPYv2Y/edit?usp=sharing"",""งบพรบ!GE79"")"),0)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IFERROR(__xludf.DUMMYFUNCTION("IMPORTRANGE(""https://docs.google.com/spreadsheets/d/1-uDff_7J0KD5mKrp0Vvzr7lt3OU09vwQwhkpOPPYv2Y/edit?usp=sharing"",""งบพรบ!GG79"")"),0)</f>
        <v>0</v>
      </c>
      <c r="M560" s="47">
        <f ca="1">IFERROR(__xludf.DUMMYFUNCTION("IMPORTRANGE(""https://docs.google.com/spreadsheets/d/1-uDff_7J0KD5mKrp0Vvzr7lt3OU09vwQwhkpOPPYv2Y/edit?usp=sharing"",""งบพรบ!GL79"")"),0)</f>
        <v>0</v>
      </c>
      <c r="N560" s="47">
        <f ca="1">IFERROR(__xludf.DUMMYFUNCTION("IMPORTRANGE(""https://docs.google.com/spreadsheets/d/1-uDff_7J0KD5mKrp0Vvzr7lt3OU09vwQwhkpOPPYv2Y/edit?usp=sharing"",""งบพรบ!GN79"")"),0)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IFERROR(__xludf.DUMMYFUNCTION("IMPORTRANGE(""https://docs.google.com/spreadsheets/d/1-uDff_7J0KD5mKrp0Vvzr7lt3OU09vwQwhkpOPPYv2Y/edit?usp=sharing"",""งบพรบ!GJ79"")"),0)</f>
        <v>0</v>
      </c>
      <c r="M563" s="47">
        <f ca="1">IFERROR(__xludf.DUMMYFUNCTION("IMPORTRANGE(""https://docs.google.com/spreadsheets/d/1-uDff_7J0KD5mKrp0Vvzr7lt3OU09vwQwhkpOPPYv2Y/edit?usp=sharing"",""งบพรบ!GM79"")"),0)</f>
        <v>0</v>
      </c>
      <c r="N563" s="47">
        <f ca="1">IFERROR(__xludf.DUMMYFUNCTION("IMPORTRANGE(""https://docs.google.com/spreadsheets/d/1-uDff_7J0KD5mKrp0Vvzr7lt3OU09vwQwhkpOPPYv2Y/edit?usp=sharing"",""งบพรบ!GO79"")"),0)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IFERROR(__xludf.DUMMYFUNCTION("IMPORTRANGE(""https://docs.google.com/spreadsheets/d/1-uDff_7J0KD5mKrp0Vvzr7lt3OU09vwQwhkpOPPYv2Y/edit?usp=sharing"",""งบพรบ!GQ79"")"),0)</f>
        <v>0</v>
      </c>
      <c r="M581" s="47">
        <f ca="1">IFERROR(__xludf.DUMMYFUNCTION("IMPORTRANGE(""https://docs.google.com/spreadsheets/d/1-uDff_7J0KD5mKrp0Vvzr7lt3OU09vwQwhkpOPPYv2Y/edit?usp=sharing"",""งบพรบ!GV79"")"),0)</f>
        <v>0</v>
      </c>
      <c r="N581" s="47">
        <f ca="1">IFERROR(__xludf.DUMMYFUNCTION("IMPORTRANGE(""https://docs.google.com/spreadsheets/d/1-uDff_7J0KD5mKrp0Vvzr7lt3OU09vwQwhkpOPPYv2Y/edit?usp=sharing"",""งบพรบ!GX79"")"),0)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IFERROR(__xludf.DUMMYFUNCTION("IMPORTRANGE(""https://docs.google.com/spreadsheets/d/1-uDff_7J0KD5mKrp0Vvzr7lt3OU09vwQwhkpOPPYv2Y/edit?usp=sharing"",""งบพรบ!GT79"")"),0)</f>
        <v>0</v>
      </c>
      <c r="M584" s="47">
        <f ca="1">IFERROR(__xludf.DUMMYFUNCTION("IMPORTRANGE(""https://docs.google.com/spreadsheets/d/1-uDff_7J0KD5mKrp0Vvzr7lt3OU09vwQwhkpOPPYv2Y/edit?usp=sharing"",""งบพรบ!GW79"")"),0)</f>
        <v>0</v>
      </c>
      <c r="N584" s="47">
        <f ca="1">IFERROR(__xludf.DUMMYFUNCTION("IMPORTRANGE(""https://docs.google.com/spreadsheets/d/1-uDff_7J0KD5mKrp0Vvzr7lt3OU09vwQwhkpOPPYv2Y/edit?usp=sharing"",""งบพรบ!GY79"")"),0)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16160</v>
      </c>
      <c r="M599" s="421">
        <f ca="1">M600+M601</f>
        <v>16160</v>
      </c>
      <c r="N599" s="421">
        <f ca="1">N600+N601</f>
        <v>7170</v>
      </c>
      <c r="O599" s="421">
        <f ca="1">IF(L599&gt;0,N599*100/L599,0)</f>
        <v>44.368811881188115</v>
      </c>
      <c r="P599" s="421">
        <f ca="1">IF(M599&gt;0,N599*100/M599,0)</f>
        <v>44.368811881188115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16160</v>
      </c>
      <c r="M601" s="331">
        <f ca="1">M604+M607</f>
        <v>16160</v>
      </c>
      <c r="N601" s="331">
        <f ca="1">N604+N607</f>
        <v>7170</v>
      </c>
      <c r="O601" s="331">
        <f ca="1">IF(L601&gt;0,N601*100/L601,0)</f>
        <v>44.368811881188115</v>
      </c>
      <c r="P601" s="331">
        <f ca="1">IF(M601&gt;0,N601*100/M601,0)</f>
        <v>44.368811881188115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1">
        <f ca="1">L603+L604</f>
        <v>16160</v>
      </c>
      <c r="M602" s="331">
        <f ca="1">M603+M604</f>
        <v>16160</v>
      </c>
      <c r="N602" s="331">
        <f ca="1">N603+N604</f>
        <v>7170</v>
      </c>
      <c r="O602" s="331">
        <f ca="1">IF(L602&gt;0,N602*100/L602,0)</f>
        <v>44.368811881188115</v>
      </c>
      <c r="P602" s="331">
        <f ca="1">IF(M602&gt;0,N602*100/M602,0)</f>
        <v>44.368811881188115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IFERROR(__xludf.DUMMYFUNCTION("IMPORTRANGE(""https://docs.google.com/spreadsheets/d/1-uDff_7J0KD5mKrp0Vvzr7lt3OU09vwQwhkpOPPYv2Y/edit?usp=sharing"",""งบพรบ!HK79"")"),16160)</f>
        <v>16160</v>
      </c>
      <c r="M604" s="331">
        <f ca="1">IFERROR(__xludf.DUMMYFUNCTION("IMPORTRANGE(""https://docs.google.com/spreadsheets/d/1-uDff_7J0KD5mKrp0Vvzr7lt3OU09vwQwhkpOPPYv2Y/edit?usp=sharing"",""งบพรบ!HP79"")"),16160)</f>
        <v>16160</v>
      </c>
      <c r="N604" s="331">
        <f ca="1">IFERROR(__xludf.DUMMYFUNCTION("IMPORTRANGE(""https://docs.google.com/spreadsheets/d/1-uDff_7J0KD5mKrp0Vvzr7lt3OU09vwQwhkpOPPYv2Y/edit?usp=sharing"",""งบพรบ!HR79"")"),7170)</f>
        <v>7170</v>
      </c>
      <c r="O604" s="331">
        <f ca="1">IF(L604&gt;0,N604*100/L604,0)</f>
        <v>44.368811881188115</v>
      </c>
      <c r="P604" s="331">
        <f ca="1">IF(M604&gt;0,N604*100/M604,0)</f>
        <v>44.368811881188115</v>
      </c>
      <c r="Q604" s="331">
        <f ca="1">IFERROR(__xludf.DUMMYFUNCTION("IMPORTRANGE(""https://docs.google.com/spreadsheets/d/1ItG2mGa2ceCfYo0BwxsXqNm01IGEUdYcSSLTEv9YCik/edit?usp=sharing"",""เบิกจ่ายกองทุน!AV79"")"),0)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IFERROR(__xludf.DUMMYFUNCTION("IMPORTRANGE(""https://docs.google.com/spreadsheets/d/1ItG2mGa2ceCfYo0BwxsXqNm01IGEUdYcSSLTEv9YCik/edit?usp=sharing"",""เบิกจ่ายกองทุน!AW79"")"),0)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IFERROR(__xludf.DUMMYFUNCTION("IMPORTRANGE(""https://docs.google.com/spreadsheets/d/1ItG2mGa2ceCfYo0BwxsXqNm01IGEUdYcSSLTEv9YCik/edit?usp=sharing"",""เบิกจ่ายกองทุน!AX79"")"),0)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IFERROR(__xludf.DUMMYFUNCTION("IMPORTRANGE(""https://docs.google.com/spreadsheets/d/1-uDff_7J0KD5mKrp0Vvzr7lt3OU09vwQwhkpOPPYv2Y/edit?usp=sharing"",""งบพรบ!HN79"")"),0)</f>
        <v>0</v>
      </c>
      <c r="M607" s="331">
        <f ca="1">IFERROR(__xludf.DUMMYFUNCTION("IMPORTRANGE(""https://docs.google.com/spreadsheets/d/1-uDff_7J0KD5mKrp0Vvzr7lt3OU09vwQwhkpOPPYv2Y/edit?usp=sharing"",""งบพรบ!HQ79"")"),0)</f>
        <v>0</v>
      </c>
      <c r="N607" s="331">
        <f ca="1">IFERROR(__xludf.DUMMYFUNCTION("IMPORTRANGE(""https://docs.google.com/spreadsheets/d/1-uDff_7J0KD5mKrp0Vvzr7lt3OU09vwQwhkpOPPYv2Y/edit?usp=sharing"",""งบพรบ!HS79"")"),0)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IFERROR(__xludf.DUMMYFUNCTION("IMPORTRANGE(""https://docs.google.com/spreadsheets/d/1ItG2mGa2ceCfYo0BwxsXqNm01IGEUdYcSSLTEv9YCik/edit?usp=sharing"",""เบิกจ่ายกองทุน!AY79"")"),0)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IFERROR(__xludf.DUMMYFUNCTION("IMPORTRANGE(""https://docs.google.com/spreadsheets/d/1ItG2mGa2ceCfYo0BwxsXqNm01IGEUdYcSSLTEv9YCik/edit?usp=sharing"",""เบิกจ่ายกองทุน!AZ79"")"),0)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IFERROR(__xludf.DUMMYFUNCTION("IMPORTRANGE(""https://docs.google.com/spreadsheets/d/1ItG2mGa2ceCfYo0BwxsXqNm01IGEUdYcSSLTEv9YCik/edit?usp=sharing"",""เบิกจ่ายกองทุน!BA79"")"),0)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6825</v>
      </c>
      <c r="R616" s="132">
        <f ca="1">R617+R618</f>
        <v>6825</v>
      </c>
      <c r="S616" s="132">
        <f ca="1">S617+S618</f>
        <v>1825</v>
      </c>
      <c r="T616" s="132">
        <f ca="1">IF(Q616&gt;0,S616*100/Q616,0)</f>
        <v>26.739926739926741</v>
      </c>
      <c r="U616" s="132">
        <f ca="1">IF(R616&gt;0,S616*100/R616,0)</f>
        <v>26.739926739926741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6825</v>
      </c>
      <c r="R618" s="47">
        <f ca="1">R621+R624</f>
        <v>6825</v>
      </c>
      <c r="S618" s="47">
        <f ca="1">S621+S624</f>
        <v>1825</v>
      </c>
      <c r="T618" s="47">
        <f ca="1">IF(Q618&gt;0,S618*100/Q618,0)</f>
        <v>26.739926739926741</v>
      </c>
      <c r="U618" s="47">
        <f ca="1">IF(R618&gt;0,S618*100/R618,0)</f>
        <v>26.739926739926741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6825</v>
      </c>
      <c r="R619" s="47">
        <f ca="1">R620+R621</f>
        <v>6825</v>
      </c>
      <c r="S619" s="47">
        <f ca="1">S620+S621</f>
        <v>1825</v>
      </c>
      <c r="T619" s="47">
        <f ca="1">IF(Q619&gt;0,S619*100/Q619,0)</f>
        <v>26.739926739926741</v>
      </c>
      <c r="U619" s="47">
        <f ca="1">IF(R619&gt;0,S619*100/R619,0)</f>
        <v>26.739926739926741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IFERROR(__xludf.DUMMYFUNCTION("IMPORTRANGE(""https://docs.google.com/spreadsheets/d/1ItG2mGa2ceCfYo0BwxsXqNm01IGEUdYcSSLTEv9YCik/edit?usp=sharing"",""เบิกจ่ายกองทุน!G79"")"),6825)</f>
        <v>6825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ca="1">IF(Q621&gt;0,S621*100/Q621,0)</f>
        <v>26.739926739926741</v>
      </c>
      <c r="U621" s="47">
        <f ca="1">IF(R621&gt;0,S621*100/R621,0)</f>
        <v>26.739926739926741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IFERROR(__xludf.DUMMYFUNCTION("IMPORTRANGE(""https://docs.google.com/spreadsheets/d/1eHaY18a8A9IcSdp1K8H6x8fbOy06t2VsZHhMHf-1x7Y/edit?usp=sharing"",""แผน!ID79"")"),50)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IFERROR(__xludf.DUMMYFUNCTION("IMPORTRANGE(""https://docs.google.com/spreadsheets/d/1eHaY18a8A9IcSdp1K8H6x8fbOy06t2VsZHhMHf-1x7Y/edit?usp=sharing"",""แผน!IC79"")"),0)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IFERROR(__xludf.DUMMYFUNCTION("IMPORTRANGE(""https://docs.google.com/spreadsheets/d/1eHaY18a8A9IcSdp1K8H6x8fbOy06t2VsZHhMHf-1x7Y/edit?usp=sharing"",""แผน!IE79"")"),0)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IFERROR(__xludf.DUMMYFUNCTION("IMPORTRANGE(""https://docs.google.com/spreadsheets/d/1eHaY18a8A9IcSdp1K8H6x8fbOy06t2VsZHhMHf-1x7Y/edit?usp=sharing"",""แผน!IF79"")"),0)</f>
        <v>0</v>
      </c>
      <c r="J652" s="15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IFERROR(__xludf.DUMMYFUNCTION("IMPORTRANGE(""https://docs.google.com/spreadsheets/d/1eHaY18a8A9IcSdp1K8H6x8fbOy06t2VsZHhMHf-1x7Y/edit?usp=sharing"",""แผน!IG79"")"),0)</f>
        <v>0</v>
      </c>
      <c r="J653" s="15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IFERROR(__xludf.DUMMYFUNCTION("IMPORTRANGE(""https://docs.google.com/spreadsheets/d/1eHaY18a8A9IcSdp1K8H6x8fbOy06t2VsZHhMHf-1x7Y/edit?usp=sharing"",""แผน!IH79"")"),0)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IFERROR(__xludf.DUMMYFUNCTION("IMPORTRANGE(""https://docs.google.com/spreadsheets/d/1eHaY18a8A9IcSdp1K8H6x8fbOy06t2VsZHhMHf-1x7Y/edit?usp=sharing"",""แผน!II79"")"),0)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IFERROR(__xludf.DUMMYFUNCTION("IMPORTRANGE(""https://docs.google.com/spreadsheets/d/1eHaY18a8A9IcSdp1K8H6x8fbOy06t2VsZHhMHf-1x7Y/edit?usp=sharing"",""แผน!IJ79"")"),0)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IFERROR(__xludf.DUMMYFUNCTION("IMPORTRANGE(""https://docs.google.com/spreadsheets/d/1eHaY18a8A9IcSdp1K8H6x8fbOy06t2VsZHhMHf-1x7Y/edit?usp=sharing"",""แผน!IK79"")"),0)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IFERROR(__xludf.DUMMYFUNCTION("IMPORTRANGE(""https://docs.google.com/spreadsheets/d/1eHaY18a8A9IcSdp1K8H6x8fbOy06t2VsZHhMHf-1x7Y/edit?usp=sharing"",""แผน!IL79"")"),0)</f>
        <v>0</v>
      </c>
      <c r="J673" s="15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IFERROR(__xludf.DUMMYFUNCTION("IMPORTRANGE(""https://docs.google.com/spreadsheets/d/1eHaY18a8A9IcSdp1K8H6x8fbOy06t2VsZHhMHf-1x7Y/edit?usp=sharing"",""แผน!IM79"")"),0)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IFERROR(__xludf.DUMMYFUNCTION("IMPORTRANGE(""https://docs.google.com/spreadsheets/d/1eHaY18a8A9IcSdp1K8H6x8fbOy06t2VsZHhMHf-1x7Y/edit?usp=sharing"",""แผน!IN79"")"),0)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IFERROR(__xludf.DUMMYFUNCTION("IMPORTRANGE(""https://docs.google.com/spreadsheets/d/1eHaY18a8A9IcSdp1K8H6x8fbOy06t2VsZHhMHf-1x7Y/edit?usp=sharing"",""แผน!IO79"")"),0)</f>
        <v>0</v>
      </c>
      <c r="J676" s="15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IFERROR(__xludf.DUMMYFUNCTION("IMPORTRANGE(""https://docs.google.com/spreadsheets/d/1eHaY18a8A9IcSdp1K8H6x8fbOy06t2VsZHhMHf-1x7Y/edit?usp=sharing"",""แผน!IP79"")"),0)</f>
        <v>0</v>
      </c>
      <c r="J678" s="15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IFERROR(__xludf.DUMMYFUNCTION("IMPORTRANGE(""https://docs.google.com/spreadsheets/d/1eHaY18a8A9IcSdp1K8H6x8fbOy06t2VsZHhMHf-1x7Y/edit?usp=sharing"",""แผน!IQ79"")"),0)</f>
        <v>0</v>
      </c>
      <c r="J679" s="15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IFERROR(__xludf.DUMMYFUNCTION("IMPORTRANGE(""https://docs.google.com/spreadsheets/d/1eHaY18a8A9IcSdp1K8H6x8fbOy06t2VsZHhMHf-1x7Y/edit?usp=sharing"",""แผน!IR79"")"),0)</f>
        <v>0</v>
      </c>
      <c r="J681" s="15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IFERROR(__xludf.DUMMYFUNCTION("IMPORTRANGE(""https://docs.google.com/spreadsheets/d/1eHaY18a8A9IcSdp1K8H6x8fbOy06t2VsZHhMHf-1x7Y/edit?usp=sharing"",""แผน!IS79"")"),0)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2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IFERROR(__xludf.DUMMYFUNCTION("IMPORTRANGE(""https://docs.google.com/spreadsheets/d/1eHaY18a8A9IcSdp1K8H6x8fbOy06t2VsZHhMHf-1x7Y/edit?usp=sharing"",""แผน!LC79"")"),0)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2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873">
        <f ca="1">J704+J706</f>
        <v>0.21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IFERROR(__xludf.DUMMYFUNCTION("IMPORTRANGE(""https://docs.google.com/spreadsheets/d/1eHaY18a8A9IcSdp1K8H6x8fbOy06t2VsZHhMHf-1x7Y/edit?usp=sharing"",""แผน!LJ79"")"),0)</f>
        <v>0</v>
      </c>
      <c r="J703" s="15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685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IFERROR(__xludf.DUMMYFUNCTION("IMPORTRANGE(""https://docs.google.com/spreadsheets/d/1eHaY18a8A9IcSdp1K8H6x8fbOy06t2VsZHhMHf-1x7Y/edit?usp=sharing"",""แผน!LK79"")"),0)</f>
        <v>0</v>
      </c>
      <c r="J705" s="152">
        <f ca="1">IFERROR(__xludf.DUMMYFUNCTION("IMPORTRANGE(""https://docs.google.com/spreadsheets/d/1tdoBKaGub7dwA3U6UFTqxio9LNnvDCQjHKmttSEBsFQ/edit?usp=sharing"",""จัดที่ดิน!AR79"")"),0)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IFERROR(__xludf.DUMMYFUNCTION("IMPORTRANGE(""https://docs.google.com/spreadsheets/d/1eHaY18a8A9IcSdp1K8H6x8fbOy06t2VsZHhMHf-1x7Y/edit?usp=sharing"",""แผน!LJ79"")"),0)</f>
        <v>0</v>
      </c>
      <c r="J707" s="152">
        <f ca="1">IFERROR(__xludf.DUMMYFUNCTION("IMPORTRANGE(""https://docs.google.com/spreadsheets/d/1tdoBKaGub7dwA3U6UFTqxio9LNnvDCQjHKmttSEBsFQ/edit?usp=sharing"",""จัดที่ดิน!BN79"")"),2)</f>
        <v>2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IFERROR(__xludf.DUMMYFUNCTION("IMPORTRANGE(""https://docs.google.com/spreadsheets/d/1tdoBKaGub7dwA3U6UFTqxio9LNnvDCQjHKmttSEBsFQ/edit?usp=sharing"",""จัดที่ดิน!BO79"")"),0.21)</f>
        <v>0.21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IFERROR(__xludf.DUMMYFUNCTION("IMPORTRANGE(""https://docs.google.com/spreadsheets/d/1eHaY18a8A9IcSdp1K8H6x8fbOy06t2VsZHhMHf-1x7Y/edit?usp=sharing"",""แผน!LK79"")"),0)</f>
        <v>0</v>
      </c>
      <c r="J709" s="15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IFERROR(__xludf.DUMMYFUNCTION("IMPORTRANGE(""https://docs.google.com/spreadsheets/d/1eHaY18a8A9IcSdp1K8H6x8fbOy06t2VsZHhMHf-1x7Y/edit?usp=sharing"",""แผน!GA79"")"),11)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IFERROR(__xludf.DUMMYFUNCTION("IMPORTRANGE(""https://docs.google.com/spreadsheets/d/1eHaY18a8A9IcSdp1K8H6x8fbOy06t2VsZHhMHf-1x7Y/edit?usp=sharing"",""แผน!FZ79"")"),100)</f>
        <v>100</v>
      </c>
      <c r="J727" s="483">
        <f>J752+J755</f>
        <v>100</v>
      </c>
      <c r="K727" s="484">
        <f ca="1">IF(I727&gt;0,J727*100/I727,0)</f>
        <v>100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110012</v>
      </c>
      <c r="T728" s="132">
        <f ca="1">IF(Q728&gt;0,S728*100/Q728,0)</f>
        <v>98.3285961995674</v>
      </c>
      <c r="U728" s="132">
        <f ca="1">IF(R728&gt;0,S728*100/R728,0)</f>
        <v>98.3285961995674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110012</v>
      </c>
      <c r="T730" s="47">
        <f ca="1">IF(Q730&gt;0,S730*100/Q730,0)</f>
        <v>98.3285961995674</v>
      </c>
      <c r="U730" s="47">
        <f ca="1">IF(R730&gt;0,S730*100/R730,0)</f>
        <v>98.3285961995674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110012</v>
      </c>
      <c r="T731" s="47">
        <f ca="1">IF(Q731&gt;0,S731*100/Q731,0)</f>
        <v>98.3285961995674</v>
      </c>
      <c r="U731" s="47">
        <f ca="1">IF(R731&gt;0,S731*100/R731,0)</f>
        <v>98.3285961995674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IFERROR(__xludf.DUMMYFUNCTION("IMPORTRANGE(""https://docs.google.com/spreadsheets/d/1ItG2mGa2ceCfYo0BwxsXqNm01IGEUdYcSSLTEv9YCik/edit?usp=sharing"",""เบิกจ่ายกองทุน!Q79"")"),110012)</f>
        <v>110012</v>
      </c>
      <c r="T733" s="47">
        <f ca="1">IF(Q733&gt;0,S733*100/Q733,0)</f>
        <v>98.3285961995674</v>
      </c>
      <c r="U733" s="47">
        <f ca="1">IF(R733&gt;0,S733*100/R733,0)</f>
        <v>98.3285961995674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IFERROR(__xludf.DUMMYFUNCTION("IMPORTRANGE(""https://docs.google.com/spreadsheets/d/1eHaY18a8A9IcSdp1K8H6x8fbOy06t2VsZHhMHf-1x7Y/edit?usp=sharing"",""แผน!GB79"")"),80)</f>
        <v>80</v>
      </c>
      <c r="J740" s="167">
        <v>80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8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IFERROR(__xludf.DUMMYFUNCTION("IMPORTRANGE(""https://docs.google.com/spreadsheets/d/1eHaY18a8A9IcSdp1K8H6x8fbOy06t2VsZHhMHf-1x7Y/edit?usp=sharing"",""แผน!GC79"")"),8)</f>
        <v>8</v>
      </c>
      <c r="J742" s="167">
        <v>8</v>
      </c>
      <c r="K742" s="47">
        <f ca="1">IF(I742&gt;0,J742*100/I742,0)</f>
        <v>100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IFERROR(__xludf.DUMMYFUNCTION("IMPORTRANGE(""https://docs.google.com/spreadsheets/d/1eHaY18a8A9IcSdp1K8H6x8fbOy06t2VsZHhMHf-1x7Y/edit?usp=sharing"",""แผน!GD79"")"),20)</f>
        <v>20</v>
      </c>
      <c r="J744" s="167">
        <v>20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2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IFERROR(__xludf.DUMMYFUNCTION("IMPORTRANGE(""https://docs.google.com/spreadsheets/d/1eHaY18a8A9IcSdp1K8H6x8fbOy06t2VsZHhMHf-1x7Y/edit?usp=sharing"",""แผน!GE79"")"),2)</f>
        <v>2</v>
      </c>
      <c r="J746" s="167">
        <v>2</v>
      </c>
      <c r="K746" s="47">
        <f ca="1">IF(I746&gt;0,J746*100/I746,0)</f>
        <v>100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1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IFERROR(__xludf.DUMMYFUNCTION("IMPORTRANGE(""https://docs.google.com/spreadsheets/d/1eHaY18a8A9IcSdp1K8H6x8fbOy06t2VsZHhMHf-1x7Y/edit?usp=sharing"",""แผน!GF79"")"),1)</f>
        <v>1</v>
      </c>
      <c r="J749" s="167">
        <v>1</v>
      </c>
      <c r="K749" s="47">
        <f ca="1">IF(I749&gt;0,J749*100/I749,0)</f>
        <v>100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IFERROR(__xludf.DUMMYFUNCTION("IMPORTRANGE(""https://docs.google.com/spreadsheets/d/1eHaY18a8A9IcSdp1K8H6x8fbOy06t2VsZHhMHf-1x7Y/edit?usp=sharing"",""แผน!GB79"")"),80)</f>
        <v>80</v>
      </c>
      <c r="J752" s="167">
        <v>80</v>
      </c>
      <c r="K752" s="47">
        <f ca="1">IF(I752&gt;0,J752*100/I752,0)</f>
        <v>100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80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IFERROR(__xludf.DUMMYFUNCTION("IMPORTRANGE(""https://docs.google.com/spreadsheets/d/1eHaY18a8A9IcSdp1K8H6x8fbOy06t2VsZHhMHf-1x7Y/edit?usp=sharing"",""แผน!GD79"")"),20)</f>
        <v>20</v>
      </c>
      <c r="J755" s="167">
        <v>20</v>
      </c>
      <c r="K755" s="47">
        <f ca="1">IF(I755&gt;0,J755*100/I755,0)</f>
        <v>100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20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1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IFERROR(__xludf.DUMMYFUNCTION("IMPORTRANGE(""https://docs.google.com/spreadsheets/d/1ItG2mGa2ceCfYo0BwxsXqNm01IGEUdYcSSLTEv9YCik/edit?usp=sharing"",""เบิกจ่ายกองทุน!AC79"")"),0)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IFERROR(__xludf.DUMMYFUNCTION("IMPORTRANGE(""https://docs.google.com/spreadsheets/d/1eHaY18a8A9IcSdp1K8H6x8fbOy06t2VsZHhMHf-1x7Y/edit?usp=sharing"",""แผน!FI79"")"),2)</f>
        <v>2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IFERROR(__xludf.DUMMYFUNCTION("IMPORTRANGE(""https://docs.google.com/spreadsheets/d/1eHaY18a8A9IcSdp1K8H6x8fbOy06t2VsZHhMHf-1x7Y/edit?usp=sharing"",""แผน!FT79"")"),0)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152">
        <f ca="1">IFERROR(__xludf.DUMMYFUNCTION("IMPORTRANGE(""https://docs.google.com/spreadsheets/d/10OvvATaaLtwErnr3qtWFcTmtbfpFEt5Bsqel9sXx0uE/edit?usp=sharing"",""งานกองทุน!F79"")"),296470.51)</f>
        <v>296470.51</v>
      </c>
      <c r="K778" s="47">
        <f ca="1">IF(I778&gt;0,J778*100/I778,0)</f>
        <v>99.736611963178632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IFERROR(__xludf.DUMMYFUNCTION("IMPORTRANGE(""https://docs.google.com/spreadsheets/d/10OvvATaaLtwErnr3qtWFcTmtbfpFEt5Bsqel9sXx0uE/edit?usp=sharing"",""งานกองทุน!C79"")"),25)</f>
        <v>25</v>
      </c>
      <c r="J779" s="152">
        <f ca="1">IFERROR(__xludf.DUMMYFUNCTION("IMPORTRANGE(""https://docs.google.com/spreadsheets/d/10OvvATaaLtwErnr3qtWFcTmtbfpFEt5Bsqel9sXx0uE/edit?usp=sharing"",""งานกองทุน!E79"")"),29)</f>
        <v>29</v>
      </c>
      <c r="K779" s="47">
        <f ca="1">IF(I779&gt;0,J779*100/I779,0)</f>
        <v>116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0" s="152">
        <f ca="1">IFERROR(__xludf.DUMMYFUNCTION("IMPORTRANGE(""https://docs.google.com/spreadsheets/d/10OvvATaaLtwErnr3qtWFcTmtbfpFEt5Bsqel9sXx0uE/edit?usp=sharing"",""งานกองทุน!K79"")"),34899.18)</f>
        <v>34899.18</v>
      </c>
      <c r="K780" s="47">
        <f ca="1">IF(I780&gt;0,J780*100/I780,0)</f>
        <v>16.837472119820003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IFERROR(__xludf.DUMMYFUNCTION("IMPORTRANGE(""https://docs.google.com/spreadsheets/d/10OvvATaaLtwErnr3qtWFcTmtbfpFEt5Bsqel9sXx0uE/edit?usp=sharing"",""งานกองทุน!H79"")"),7)</f>
        <v>7</v>
      </c>
      <c r="J781" s="152">
        <f ca="1">IFERROR(__xludf.DUMMYFUNCTION("IMPORTRANGE(""https://docs.google.com/spreadsheets/d/10OvvATaaLtwErnr3qtWFcTmtbfpFEt5Bsqel9sXx0uE/edit?usp=sharing"",""งานกองทุน!J79"")"),7)</f>
        <v>7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IFERROR(__xludf.DUMMYFUNCTION("IMPORTRANGE(""https://docs.google.com/spreadsheets/d/10OvvATaaLtwErnr3qtWFcTmtbfpFEt5Bsqel9sXx0uE/edit?usp=sharing"",""งานกองทุน!N79"")"),66544.33)</f>
        <v>66544.33</v>
      </c>
      <c r="J782" s="152">
        <f ca="1">IFERROR(__xludf.DUMMYFUNCTION("IMPORTRANGE(""https://docs.google.com/spreadsheets/d/10OvvATaaLtwErnr3qtWFcTmtbfpFEt5Bsqel9sXx0uE/edit?usp=sharing"",""งานกองทุน!P79"")"),27326.35)</f>
        <v>27326.35</v>
      </c>
      <c r="K782" s="47">
        <f ca="1">IF(I782&gt;0,J782*100/I782,0)</f>
        <v>41.064881110081053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IFERROR(__xludf.DUMMYFUNCTION("IMPORTRANGE(""https://docs.google.com/spreadsheets/d/10OvvATaaLtwErnr3qtWFcTmtbfpFEt5Bsqel9sXx0uE/edit?usp=sharing"",""งานกองทุน!M79"")"),151)</f>
        <v>151</v>
      </c>
      <c r="J783" s="152">
        <f ca="1">IFERROR(__xludf.DUMMYFUNCTION("IMPORTRANGE(""https://docs.google.com/spreadsheets/d/10OvvATaaLtwErnr3qtWFcTmtbfpFEt5Bsqel9sXx0uE/edit?usp=sharing"",""งานกองทุน!O79"")"),7)</f>
        <v>7</v>
      </c>
      <c r="K783" s="47">
        <f ca="1">IF(I783&gt;0,J783*100/I783,0)</f>
        <v>4.6357615894039732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IFERROR(__xludf.DUMMYFUNCTION("IMPORTRANGE(""https://docs.google.com/spreadsheets/d/10OvvATaaLtwErnr3qtWFcTmtbfpFEt5Bsqel9sXx0uE/edit?usp=sharing"",""งานกองทุน!S79"")"),392000)</f>
        <v>392000</v>
      </c>
      <c r="J784" s="152">
        <f ca="1">IFERROR(__xludf.DUMMYFUNCTION("IMPORTRANGE(""https://docs.google.com/spreadsheets/d/10OvvATaaLtwErnr3qtWFcTmtbfpFEt5Bsqel9sXx0uE/edit?usp=sharing"",""งานกองทุน!U79"")"),0)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IFERROR(__xludf.DUMMYFUNCTION("IMPORTRANGE(""https://docs.google.com/spreadsheets/d/10OvvATaaLtwErnr3qtWFcTmtbfpFEt5Bsqel9sXx0uE/edit?usp=sharing"",""งานกองทุน!R79"")"),14)</f>
        <v>14</v>
      </c>
      <c r="J785" s="197">
        <f ca="1">IFERROR(__xludf.DUMMYFUNCTION("IMPORTRANGE(""https://docs.google.com/spreadsheets/d/10OvvATaaLtwErnr3qtWFcTmtbfpFEt5Bsqel9sXx0uE/edit?usp=sharing"",""งานกองทุน!T79"")"),0)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BEBE5-3285-4D9C-AC37-BB4DAAA75837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322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4539797</v>
      </c>
      <c r="M18" s="35">
        <f ca="1">M19+M20</f>
        <v>4655771</v>
      </c>
      <c r="N18" s="35">
        <f ca="1">N19+N20</f>
        <v>3666153.4</v>
      </c>
      <c r="O18" s="35">
        <f ca="1">IF(L18&gt;0,N18*100/L18,0)</f>
        <v>80.755888424085924</v>
      </c>
      <c r="P18" s="35">
        <f ca="1">IF(M18&gt;0,N18*100/M18,0)</f>
        <v>78.744281022412835</v>
      </c>
      <c r="Q18" s="35">
        <f ca="1">Q19+Q20</f>
        <v>643827.99</v>
      </c>
      <c r="R18" s="35">
        <f ca="1">R19+R20</f>
        <v>643828</v>
      </c>
      <c r="S18" s="35">
        <f ca="1">S19+S20</f>
        <v>352728</v>
      </c>
      <c r="T18" s="35">
        <f ca="1">IF(Q18&gt;0,S18*100/Q18,0)</f>
        <v>54.786061724343483</v>
      </c>
      <c r="U18" s="35">
        <f ca="1">IF(R18&gt;0,S18*100/R18,0)</f>
        <v>54.78606087340097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4539797</v>
      </c>
      <c r="M20" s="39">
        <f ca="1">M23+M26</f>
        <v>4655771</v>
      </c>
      <c r="N20" s="39">
        <f ca="1">N23+N26</f>
        <v>3666153.4</v>
      </c>
      <c r="O20" s="39">
        <f ca="1">IF(L20&gt;0,N20*100/L20,0)</f>
        <v>80.755888424085924</v>
      </c>
      <c r="P20" s="39">
        <f ca="1">IF(M20&gt;0,N20*100/M20,0)</f>
        <v>78.744281022412835</v>
      </c>
      <c r="Q20" s="39">
        <f ca="1">Q23+Q26</f>
        <v>643827.99</v>
      </c>
      <c r="R20" s="39">
        <f ca="1">R23+R26</f>
        <v>643828</v>
      </c>
      <c r="S20" s="39">
        <f ca="1">S23+S26</f>
        <v>352728</v>
      </c>
      <c r="T20" s="39">
        <f ca="1">IF(Q20&gt;0,S20*100/Q20,0)</f>
        <v>54.786061724343483</v>
      </c>
      <c r="U20" s="39">
        <f ca="1">IF(R20&gt;0,S20*100/R20,0)</f>
        <v>54.78606087340097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2203297</v>
      </c>
      <c r="M21" s="47">
        <f ca="1">M22+M23</f>
        <v>2319271</v>
      </c>
      <c r="N21" s="47">
        <f ca="1">N22+N23</f>
        <v>1623553.4</v>
      </c>
      <c r="O21" s="47">
        <f ca="1">IF(L21&gt;0,N21*100/L21,0)</f>
        <v>73.687451124383145</v>
      </c>
      <c r="P21" s="47">
        <f ca="1">IF(M21&gt;0,N21*100/M21,0)</f>
        <v>70.002746552688322</v>
      </c>
      <c r="Q21" s="47">
        <f ca="1">Q22+Q23</f>
        <v>643827.99</v>
      </c>
      <c r="R21" s="47">
        <f ca="1">R22+R23</f>
        <v>643828</v>
      </c>
      <c r="S21" s="47">
        <f ca="1">S22+S23</f>
        <v>352728</v>
      </c>
      <c r="T21" s="47">
        <f ca="1">IF(Q21&gt;0,S21*100/Q21,0)</f>
        <v>54.786061724343483</v>
      </c>
      <c r="U21" s="47">
        <f ca="1">IF(R21&gt;0,S21*100/R21,0)</f>
        <v>54.78606087340097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2203297</v>
      </c>
      <c r="M23" s="47">
        <f ca="1">M49+M64+M77+M99+M122+M144+M162+M191+M178+M271+M287+M308+M325+M338+M361+M380+M418+M498+M518+M539+M560+M581+M604+M621+M647+M695+M719+M733+M765</f>
        <v>2319271</v>
      </c>
      <c r="N23" s="47">
        <f ca="1">N49+N64+N77+N99+N122+N144+N162+N191+N178+N271+N287+N308+N325+N338+N361+N380+N418+N498+N518+N539+N560+N581+N604+N621+N647+N695+N719+N733+N765</f>
        <v>1623553.4</v>
      </c>
      <c r="O23" s="47">
        <f ca="1">IF(L23&gt;0,N23*100/L23,0)</f>
        <v>73.687451124383145</v>
      </c>
      <c r="P23" s="47">
        <f ca="1">IF(M23&gt;0,N23*100/M23,0)</f>
        <v>70.002746552688322</v>
      </c>
      <c r="Q23" s="47">
        <f ca="1">Q77+Q99+Q122+Q144+Q162+Q178+Q191+Q271+Q287+Q308+Q338+Q380+Q397+Q418+Q498+Q604+Q621+Q647+Q695+Q719+Q733+Q765</f>
        <v>643827.99</v>
      </c>
      <c r="R23" s="47">
        <f ca="1">R77+R99+R122+R144+R162+R178+R191+R271+R287+R308+R338+R380+R397+R418+R498+R604+R621+R647+R695+R719+R733+R765</f>
        <v>643828</v>
      </c>
      <c r="S23" s="47">
        <f ca="1">S77+S99+S122+S144+S162+S178+S191+S271+S287+S308+S338+S380+S397+S418+S498+S604+S621+S647+S695+S719+S733+S765</f>
        <v>352728</v>
      </c>
      <c r="T23" s="47">
        <f ca="1">IF(Q23&gt;0,S23*100/Q23,0)</f>
        <v>54.786061724343483</v>
      </c>
      <c r="U23" s="47">
        <f ca="1">IF(R23&gt;0,S23*100/R23,0)</f>
        <v>54.78606087340097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2336500</v>
      </c>
      <c r="M24" s="47">
        <f ca="1">M25+M26</f>
        <v>2336500</v>
      </c>
      <c r="N24" s="47">
        <f ca="1">N25+N26</f>
        <v>2042600</v>
      </c>
      <c r="O24" s="47">
        <f ca="1">IF(L24&gt;0,N24*100/L24,0)</f>
        <v>87.421356730151942</v>
      </c>
      <c r="P24" s="47">
        <f ca="1">IF(M24&gt;0,N24*100/M24,0)</f>
        <v>87.421356730151942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2336500</v>
      </c>
      <c r="M26" s="47">
        <f ca="1">M52+M67+M80+M102+M125+M147+M165+M194+M181+M274+M290+M311+M328+M341+M364+M383+M421+M501+M521+M542+M563+M584+M607+M624+M650+M698+M722+M736+M768</f>
        <v>2336500</v>
      </c>
      <c r="N26" s="47">
        <f ca="1">N52+N67+N80+N102+N125+N147+N165+N194+N181+N274+N290+N311+N328+N341+N364+N383+N421+N501+N521+N542+N563+N584+N607+N624+N650+N698+N722+N736+N768</f>
        <v>2042600</v>
      </c>
      <c r="O26" s="47">
        <f ca="1">IF(L26&gt;0,N26*100/L26,0)</f>
        <v>87.421356730151942</v>
      </c>
      <c r="P26" s="47">
        <f ca="1">IF(M26&gt;0,N26*100/M26,0)</f>
        <v>87.421356730151942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4494697</v>
      </c>
      <c r="M40" s="803">
        <f ca="1">M44+M59+M72+M94+M125+M139+M157+M173+M186+M266+M282+M303+M320+M333+M356</f>
        <v>4610671</v>
      </c>
      <c r="N40" s="803">
        <f ca="1">N44+N59+N72+N94+N125+N139+N157+N173+N186+N266+N282+N303+N320+N333+N356</f>
        <v>3666153.3999999994</v>
      </c>
      <c r="O40" s="803">
        <f ca="1">IF(L40&gt;0,N40*100/L40,0)</f>
        <v>81.566196787013666</v>
      </c>
      <c r="P40" s="803">
        <f ca="1">IF(M40&gt;0,N40*100/M40,0)</f>
        <v>79.514530531456259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427907</v>
      </c>
      <c r="M44" s="79">
        <f ca="1">M45+M46</f>
        <v>467641</v>
      </c>
      <c r="N44" s="79">
        <f ca="1">N45+N46</f>
        <v>288745.23</v>
      </c>
      <c r="O44" s="79">
        <f ca="1">IF(L44&gt;0,N44*100/L44,0)</f>
        <v>67.478501169646677</v>
      </c>
      <c r="P44" s="79">
        <f ca="1">IF(M44&gt;0,N44*100/M44,0)</f>
        <v>61.745062986350639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427907</v>
      </c>
      <c r="M46" s="83">
        <f ca="1">M49+M52</f>
        <v>467641</v>
      </c>
      <c r="N46" s="83">
        <f ca="1">N49+N52</f>
        <v>288745.23</v>
      </c>
      <c r="O46" s="83">
        <f ca="1">IF(L46&gt;0,N46*100/L46,0)</f>
        <v>67.478501169646677</v>
      </c>
      <c r="P46" s="83">
        <f ca="1">IF(M46&gt;0,N46*100/M46,0)</f>
        <v>61.745062986350639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427907</v>
      </c>
      <c r="M47" s="47">
        <f ca="1">M48+M49</f>
        <v>467641</v>
      </c>
      <c r="N47" s="47">
        <f ca="1">N48+N49</f>
        <v>288745.23</v>
      </c>
      <c r="O47" s="47">
        <f ca="1">IF(L47&gt;0,N47*100/L47,0)</f>
        <v>67.478501169646677</v>
      </c>
      <c r="P47" s="47">
        <f ca="1">IF(M47&gt;0,N47*100/M47,0)</f>
        <v>61.745062986350639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IFERROR(__xludf.DUMMYFUNCTION("IMPORTRANGE(""https://docs.google.com/spreadsheets/d/1-uDff_7J0KD5mKrp0Vvzr7lt3OU09vwQwhkpOPPYv2Y/edit?usp=sharing"",""งบพรบ!P80"")"),427907)</f>
        <v>427907</v>
      </c>
      <c r="M49" s="47">
        <f ca="1">IFERROR(__xludf.DUMMYFUNCTION("IMPORTRANGE(""https://docs.google.com/spreadsheets/d/1-uDff_7J0KD5mKrp0Vvzr7lt3OU09vwQwhkpOPPYv2Y/edit?usp=sharing"",""งบพรบ!V80"")"),467641)</f>
        <v>467641</v>
      </c>
      <c r="N49" s="47">
        <f ca="1">IFERROR(__xludf.DUMMYFUNCTION("IMPORTRANGE(""https://docs.google.com/spreadsheets/d/1-uDff_7J0KD5mKrp0Vvzr7lt3OU09vwQwhkpOPPYv2Y/edit?usp=sharing"",""งบพรบ!Y80"")"),288745.23)</f>
        <v>288745.23</v>
      </c>
      <c r="O49" s="47">
        <f ca="1">IF(L49&gt;0,N49*100/L49,0)</f>
        <v>67.478501169646677</v>
      </c>
      <c r="P49" s="47">
        <f ca="1">IF(M49&gt;0,N49*100/M49,0)</f>
        <v>61.745062986350639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2565500</v>
      </c>
      <c r="M59" s="106">
        <f ca="1">M60+M61</f>
        <v>2565500</v>
      </c>
      <c r="N59" s="106">
        <f ca="1">N60+N61</f>
        <v>2232182.7199999997</v>
      </c>
      <c r="O59" s="106">
        <f ca="1">IF(L59&gt;0,N59*100/L59,0)</f>
        <v>87.007706879750529</v>
      </c>
      <c r="P59" s="106">
        <f ca="1">IF(M59&gt;0,N59*100/M59,0)</f>
        <v>87.007706879750529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2565500</v>
      </c>
      <c r="M61" s="109">
        <f ca="1">M64+M67</f>
        <v>2565500</v>
      </c>
      <c r="N61" s="109">
        <f ca="1">N64+N67</f>
        <v>2232182.7199999997</v>
      </c>
      <c r="O61" s="109">
        <f ca="1">IF(L61&gt;0,N61*100/L61,0)</f>
        <v>87.007706879750529</v>
      </c>
      <c r="P61" s="109">
        <f ca="1">IF(M61&gt;0,N61*100/M61,0)</f>
        <v>87.007706879750529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580900</v>
      </c>
      <c r="M62" s="47">
        <f ca="1">M63+M64</f>
        <v>580900</v>
      </c>
      <c r="N62" s="47">
        <f ca="1">N63+N64</f>
        <v>484582.72</v>
      </c>
      <c r="O62" s="47">
        <f ca="1">IF(L62&gt;0,N62*100/L62,0)</f>
        <v>83.419301084524008</v>
      </c>
      <c r="P62" s="47">
        <f ca="1">IF(M62&gt;0,N62*100/M62,0)</f>
        <v>83.419301084524008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IFERROR(__xludf.DUMMYFUNCTION("IMPORTRANGE(""https://docs.google.com/spreadsheets/d/1-uDff_7J0KD5mKrp0Vvzr7lt3OU09vwQwhkpOPPYv2Y/edit?usp=sharing"",""งบพรบ!AC80"")"),580900)</f>
        <v>580900</v>
      </c>
      <c r="M64" s="47">
        <f ca="1">IFERROR(__xludf.DUMMYFUNCTION("IMPORTRANGE(""https://docs.google.com/spreadsheets/d/1-uDff_7J0KD5mKrp0Vvzr7lt3OU09vwQwhkpOPPYv2Y/edit?usp=sharing"",""งบพรบ!AH80"")"),580900)</f>
        <v>580900</v>
      </c>
      <c r="N64" s="47">
        <f ca="1">IFERROR(__xludf.DUMMYFUNCTION("IMPORTRANGE(""https://docs.google.com/spreadsheets/d/1-uDff_7J0KD5mKrp0Vvzr7lt3OU09vwQwhkpOPPYv2Y/edit?usp=sharing"",""งบพรบ!AJ80"")"),484582.72)</f>
        <v>484582.72</v>
      </c>
      <c r="O64" s="47">
        <f ca="1">IF(L64&gt;0,N64*100/L64,0)</f>
        <v>83.419301084524008</v>
      </c>
      <c r="P64" s="47">
        <f ca="1">IF(M64&gt;0,N64*100/M64,0)</f>
        <v>83.419301084524008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1984600</v>
      </c>
      <c r="M65" s="47">
        <f ca="1">M66+M67</f>
        <v>1984600</v>
      </c>
      <c r="N65" s="47">
        <f ca="1">N66+N67</f>
        <v>1747600</v>
      </c>
      <c r="O65" s="47">
        <f ca="1">IF(L65&gt;0,N65*100/L65,0)</f>
        <v>88.058046961604347</v>
      </c>
      <c r="P65" s="47">
        <f ca="1">IF(M65&gt;0,N65*100/M65,0)</f>
        <v>88.058046961604347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IFERROR(__xludf.DUMMYFUNCTION("IMPORTRANGE(""https://docs.google.com/spreadsheets/d/1-uDff_7J0KD5mKrp0Vvzr7lt3OU09vwQwhkpOPPYv2Y/edit?usp=sharing"",""งบพรบ!AF80"")"),1984600)</f>
        <v>1984600</v>
      </c>
      <c r="M67" s="111">
        <f ca="1">IFERROR(__xludf.DUMMYFUNCTION("IMPORTRANGE(""https://docs.google.com/spreadsheets/d/1-uDff_7J0KD5mKrp0Vvzr7lt3OU09vwQwhkpOPPYv2Y/edit?usp=sharing"",""งบพรบ!AI80"")"),1984600)</f>
        <v>1984600</v>
      </c>
      <c r="N67" s="111">
        <f ca="1">IFERROR(__xludf.DUMMYFUNCTION("IMPORTRANGE(""https://docs.google.com/spreadsheets/d/1-uDff_7J0KD5mKrp0Vvzr7lt3OU09vwQwhkpOPPYv2Y/edit?usp=sharing"",""งบพรบ!AK80"")"),1747600)</f>
        <v>1747600</v>
      </c>
      <c r="O67" s="111">
        <f ca="1">IF(L67&gt;0,N67*100/L67,0)</f>
        <v>88.058046961604347</v>
      </c>
      <c r="P67" s="111">
        <f ca="1">IF(M67&gt;0,N67*100/M67,0)</f>
        <v>88.058046961604347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IFERROR(__xludf.DUMMYFUNCTION("IMPORTRANGE(""https://docs.google.com/spreadsheets/d/1ItG2mGa2ceCfYo0BwxsXqNm01IGEUdYcSSLTEv9YCik/edit?usp=sharing"",""เบิกจ่ายกองทุน!BH80"")"),0)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IFERROR(__xludf.DUMMYFUNCTION("IMPORTRANGE(""https://docs.google.com/spreadsheets/d/1ItG2mGa2ceCfYo0BwxsXqNm01IGEUdYcSSLTEv9YCik/edit?usp=sharing"",""เบิกจ่ายกองทุน!BI80"")"),0)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IFERROR(__xludf.DUMMYFUNCTION("IMPORTRANGE(""https://docs.google.com/spreadsheets/d/1ItG2mGa2ceCfYo0BwxsXqNm01IGEUdYcSSLTEv9YCik/edit?usp=sharing"",""เบิกจ่ายกองทุน!BJ80"")"),0)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IFERROR(__xludf.DUMMYFUNCTION("IMPORTRANGE(""https://docs.google.com/spreadsheets/d/1ItG2mGa2ceCfYo0BwxsXqNm01IGEUdYcSSLTEv9YCik/edit?usp=sharing"",""เบิกจ่ายกองทุน!BK80"")"),0)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IFERROR(__xludf.DUMMYFUNCTION("IMPORTRANGE(""https://docs.google.com/spreadsheets/d/1ItG2mGa2ceCfYo0BwxsXqNm01IGEUdYcSSLTEv9YCik/edit?usp=sharing"",""เบิกจ่ายกองทุน!BL80"")"),0)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IFERROR(__xludf.DUMMYFUNCTION("IMPORTRANGE(""https://docs.google.com/spreadsheets/d/1ItG2mGa2ceCfYo0BwxsXqNm01IGEUdYcSSLTEv9YCik/edit?usp=sharing"",""เบิกจ่ายกองทุน!BM80"")"),0)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IFERROR(__xludf.DUMMYFUNCTION("IMPORTRANGE(""https://docs.google.com/spreadsheets/d/1eHaY18a8A9IcSdp1K8H6x8fbOy06t2VsZHhMHf-1x7Y/edit?usp=sharing"",""แผน!H80"")"),0)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IFERROR(__xludf.DUMMYFUNCTION("IMPORTRANGE(""https://docs.google.com/spreadsheets/d/1eHaY18a8A9IcSdp1K8H6x8fbOy06t2VsZHhMHf-1x7Y/edit?usp=sharing"",""แผน!I80"")"),0)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IFERROR(__xludf.DUMMYFUNCTION("IMPORTRANGE(""https://docs.google.com/spreadsheets/d/1eHaY18a8A9IcSdp1K8H6x8fbOy06t2VsZHhMHf-1x7Y/edit?usp=sharing"",""แผน!F80"")"),0)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IFERROR(__xludf.DUMMYFUNCTION("IMPORTRANGE(""https://docs.google.com/spreadsheets/d/1eHaY18a8A9IcSdp1K8H6x8fbOy06t2VsZHhMHf-1x7Y/edit?usp=sharing"",""แผน!G80"")"),0)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IFERROR(__xludf.DUMMYFUNCTION("IMPORTRANGE(""https://docs.google.com/spreadsheets/d/1eHaY18a8A9IcSdp1K8H6x8fbOy06t2VsZHhMHf-1x7Y/edit?usp=sharing"",""แผน!D80"")"),0)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IFERROR(__xludf.DUMMYFUNCTION("IMPORTRANGE(""https://docs.google.com/spreadsheets/d/1eHaY18a8A9IcSdp1K8H6x8fbOy06t2VsZHhMHf-1x7Y/edit?usp=sharing"",""แผน!E80"")"),0)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IFERROR(__xludf.DUMMYFUNCTION("IMPORTRANGE(""https://docs.google.com/spreadsheets/d/1eHaY18a8A9IcSdp1K8H6x8fbOy06t2VsZHhMHf-1x7Y/edit?usp=sharing"",""แผน!J80"")"),0)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IFERROR(__xludf.DUMMYFUNCTION("IMPORTRANGE(""https://docs.google.com/spreadsheets/d/1ItG2mGa2ceCfYo0BwxsXqNm01IGEUdYcSSLTEv9YCik/edit?usp=sharing"",""เบิกจ่ายกองทุน!AL80"")"),0)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IFERROR(__xludf.DUMMYFUNCTION("IMPORTRANGE(""https://docs.google.com/spreadsheets/d/1eHaY18a8A9IcSdp1K8H6x8fbOy06t2VsZHhMHf-1x7Y/edit?usp=sharing"",""แผน!N80"")"),0)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IFERROR(__xludf.DUMMYFUNCTION("IMPORTRANGE(""https://docs.google.com/spreadsheets/d/1eHaY18a8A9IcSdp1K8H6x8fbOy06t2VsZHhMHf-1x7Y/edit?usp=sharing"",""แผน!O80"")"),0)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IFERROR(__xludf.DUMMYFUNCTION("IMPORTRANGE(""https://docs.google.com/spreadsheets/d/1eHaY18a8A9IcSdp1K8H6x8fbOy06t2VsZHhMHf-1x7Y/edit?usp=sharing"",""แผน!R80"")"),0)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351900</v>
      </c>
      <c r="M117" s="132">
        <f ca="1">M118+M119</f>
        <v>351900</v>
      </c>
      <c r="N117" s="132">
        <f ca="1">N118+N119</f>
        <v>295000</v>
      </c>
      <c r="O117" s="132">
        <f ca="1">IF(L117&gt;0,N117*100/L117,0)</f>
        <v>83.830633702756458</v>
      </c>
      <c r="P117" s="132">
        <f ca="1">IF(M117&gt;0,N117*100/M117,0)</f>
        <v>83.830633702756458</v>
      </c>
      <c r="Q117" s="132">
        <f ca="1">Q118+Q119</f>
        <v>173660</v>
      </c>
      <c r="R117" s="132">
        <f ca="1">R118+R119</f>
        <v>173660</v>
      </c>
      <c r="S117" s="132">
        <f ca="1">S118+S119</f>
        <v>119150</v>
      </c>
      <c r="T117" s="132">
        <f ca="1">IF(Q117&gt;0,S117*100/Q117,0)</f>
        <v>68.611079120119769</v>
      </c>
      <c r="U117" s="132">
        <f ca="1">IF(R117&gt;0,S117*100/R117,0)</f>
        <v>68.611079120119769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351900</v>
      </c>
      <c r="M119" s="47">
        <f ca="1">M122+M125</f>
        <v>351900</v>
      </c>
      <c r="N119" s="47">
        <f ca="1">N122+N125</f>
        <v>295000</v>
      </c>
      <c r="O119" s="47">
        <f ca="1">IF(L119&gt;0,N119*100/L119,0)</f>
        <v>83.830633702756458</v>
      </c>
      <c r="P119" s="47">
        <f ca="1">IF(M119&gt;0,N119*100/M119,0)</f>
        <v>83.830633702756458</v>
      </c>
      <c r="Q119" s="47">
        <f ca="1">Q122+Q125</f>
        <v>173660</v>
      </c>
      <c r="R119" s="47">
        <f ca="1">R122+R125</f>
        <v>173660</v>
      </c>
      <c r="S119" s="47">
        <f ca="1">S122+S125</f>
        <v>119150</v>
      </c>
      <c r="T119" s="47">
        <f ca="1">IF(Q119&gt;0,S119*100/Q119,0)</f>
        <v>68.611079120119769</v>
      </c>
      <c r="U119" s="47">
        <f ca="1">IF(R119&gt;0,S119*100/R119,0)</f>
        <v>68.611079120119769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119150</v>
      </c>
      <c r="T120" s="47">
        <f ca="1">IF(Q120&gt;0,S120*100/Q120,0)</f>
        <v>68.611079120119769</v>
      </c>
      <c r="U120" s="47">
        <f ca="1">IF(R120&gt;0,S120*100/R120,0)</f>
        <v>68.611079120119769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IFERROR(__xludf.DUMMYFUNCTION("IMPORTRANGE(""https://docs.google.com/spreadsheets/d/1-uDff_7J0KD5mKrp0Vvzr7lt3OU09vwQwhkpOPPYv2Y/edit?usp=sharing"",""งบพรบ!BL80"")"),0)</f>
        <v>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IFERROR(__xludf.DUMMYFUNCTION("IMPORTRANGE(""https://docs.google.com/spreadsheets/d/1ItG2mGa2ceCfYo0BwxsXqNm01IGEUdYcSSLTEv9YCik/edit?usp=sharing"",""เบิกจ่ายกองทุน!W80"")"),119150)</f>
        <v>119150</v>
      </c>
      <c r="T122" s="47">
        <f ca="1">IF(Q122&gt;0,S122*100/Q122,0)</f>
        <v>68.611079120119769</v>
      </c>
      <c r="U122" s="47">
        <f ca="1">IF(R122&gt;0,S122*100/R122,0)</f>
        <v>68.611079120119769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351900</v>
      </c>
      <c r="M123" s="47">
        <f ca="1">M124+M125</f>
        <v>351900</v>
      </c>
      <c r="N123" s="47">
        <f ca="1">N124+N125</f>
        <v>295000</v>
      </c>
      <c r="O123" s="47">
        <f ca="1">IF(L123&gt;0,N123*100/L123,0)</f>
        <v>83.830633702756458</v>
      </c>
      <c r="P123" s="47">
        <f ca="1">IF(M123&gt;0,N123*100/M123,0)</f>
        <v>83.830633702756458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IFERROR(__xludf.DUMMYFUNCTION("IMPORTRANGE(""https://docs.google.com/spreadsheets/d/1-uDff_7J0KD5mKrp0Vvzr7lt3OU09vwQwhkpOPPYv2Y/edit?usp=sharing"",""งบพรบ!BJ80"")"),351900)</f>
        <v>351900</v>
      </c>
      <c r="M125" s="47">
        <f ca="1">IFERROR(__xludf.DUMMYFUNCTION("IMPORTRANGE(""https://docs.google.com/spreadsheets/d/1-uDff_7J0KD5mKrp0Vvzr7lt3OU09vwQwhkpOPPYv2Y/edit?usp=sharing"",""งบพรบ!BM80"")"),351900)</f>
        <v>351900</v>
      </c>
      <c r="N125" s="47">
        <f ca="1">IFERROR(__xludf.DUMMYFUNCTION("IMPORTRANGE(""https://docs.google.com/spreadsheets/d/1-uDff_7J0KD5mKrp0Vvzr7lt3OU09vwQwhkpOPPYv2Y/edit?usp=sharing"",""งบพรบ!BO80"")"),295000)</f>
        <v>295000</v>
      </c>
      <c r="O125" s="47">
        <f ca="1">IF(L125&gt;0,N125*100/L125,0)</f>
        <v>83.830633702756458</v>
      </c>
      <c r="P125" s="47">
        <f ca="1">IF(M125&gt;0,N125*100/M125,0)</f>
        <v>83.830633702756458</v>
      </c>
      <c r="Q125" s="47">
        <f ca="1">IFERROR(__xludf.DUMMYFUNCTION("IMPORTRANGE(""https://docs.google.com/spreadsheets/d/1ItG2mGa2ceCfYo0BwxsXqNm01IGEUdYcSSLTEv9YCik/edit?usp=sharing"",""เบิกจ่ายกองทุน!X80"")"),0)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IFERROR(__xludf.DUMMYFUNCTION("IMPORTRANGE(""https://docs.google.com/spreadsheets/d/1ItG2mGa2ceCfYo0BwxsXqNm01IGEUdYcSSLTEv9YCik/edit?usp=sharing"",""เบิกจ่ายกองทุน!Y80"")"),0)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IFERROR(__xludf.DUMMYFUNCTION("IMPORTRANGE(""https://docs.google.com/spreadsheets/d/1ItG2mGa2ceCfYo0BwxsXqNm01IGEUdYcSSLTEv9YCik/edit?usp=sharing"",""เบิกจ่ายกองทุน!Z80"")"),0)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IFERROR(__xludf.DUMMYFUNCTION("IMPORTRANGE(""https://docs.google.com/spreadsheets/d/1eHaY18a8A9IcSdp1K8H6x8fbOy06t2VsZHhMHf-1x7Y/edit?usp=sharing"",""แผน!FF80"")"),10)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IFERROR(__xludf.DUMMYFUNCTION("IMPORTRANGE(""https://docs.google.com/spreadsheets/d/1eHaY18a8A9IcSdp1K8H6x8fbOy06t2VsZHhMHf-1x7Y/edit?usp=sharing"",""แผน!FG80"")"),1)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IFERROR(__xludf.DUMMYFUNCTION("IMPORTRANGE(""https://docs.google.com/spreadsheets/d/1eHaY18a8A9IcSdp1K8H6x8fbOy06t2VsZHhMHf-1x7Y/edit?usp=sharing"",""แผน!FH80"")"),10)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IFERROR(__xludf.DUMMYFUNCTION("IMPORTRANGE(""https://docs.google.com/spreadsheets/d/1eHaY18a8A9IcSdp1K8H6x8fbOy06t2VsZHhMHf-1x7Y/edit?usp=sharing"",""แผน!FI80"")"),1)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IFERROR(__xludf.DUMMYFUNCTION("IMPORTRANGE(""https://docs.google.com/spreadsheets/d/1ItG2mGa2ceCfYo0BwxsXqNm01IGEUdYcSSLTEv9YCik/edit?usp=sharing"",""เบิกจ่ายกองทุน!CH80"")"),0)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IFERROR(__xludf.DUMMYFUNCTION("IMPORTRANGE(""https://docs.google.com/spreadsheets/d/1ItG2mGa2ceCfYo0BwxsXqNm01IGEUdYcSSLTEv9YCik/edit?usp=sharing"",""เบิกจ่ายกองทุน!CI80"")"),0)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IFERROR(__xludf.DUMMYFUNCTION("IMPORTRANGE(""https://docs.google.com/spreadsheets/d/1ItG2mGa2ceCfYo0BwxsXqNm01IGEUdYcSSLTEv9YCik/edit?usp=sharing"",""เบิกจ่ายกองทุน!CJ80"")"),0)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IFERROR(__xludf.DUMMYFUNCTION("IMPORTRANGE(""https://docs.google.com/spreadsheets/d/1ItG2mGa2ceCfYo0BwxsXqNm01IGEUdYcSSLTEv9YCik/edit?usp=sharing"",""เบิกจ่ายกองทุน!CK80"")"),0)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IFERROR(__xludf.DUMMYFUNCTION("IMPORTRANGE(""https://docs.google.com/spreadsheets/d/1eHaY18a8A9IcSdp1K8H6x8fbOy06t2VsZHhMHf-1x7Y/edit?usp=sharing"",""แผน!U80"")"),0)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IFERROR(__xludf.DUMMYFUNCTION("IMPORTRANGE(""https://docs.google.com/spreadsheets/d/1eHaY18a8A9IcSdp1K8H6x8fbOy06t2VsZHhMHf-1x7Y/edit?usp=sharing"",""แผน!V80"")"),0)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IFERROR(__xludf.DUMMYFUNCTION("IMPORTRANGE(""https://docs.google.com/spreadsheets/d/1eHaY18a8A9IcSdp1K8H6x8fbOy06t2VsZHhMHf-1x7Y/edit?usp=sharing"",""แผน!W80"")"),0)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IFERROR(__xludf.DUMMYFUNCTION("IMPORTRANGE(""https://docs.google.com/spreadsheets/d/1eHaY18a8A9IcSdp1K8H6x8fbOy06t2VsZHhMHf-1x7Y/edit?usp=sharing"",""แผน!X80"")"),0)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IFERROR(__xludf.DUMMYFUNCTION("IMPORTRANGE(""https://docs.google.com/spreadsheets/d/1eHaY18a8A9IcSdp1K8H6x8fbOy06t2VsZHhMHf-1x7Y/edit?usp=sharing"",""แผน!Y80"")"),0)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IFERROR(__xludf.DUMMYFUNCTION("IMPORTRANGE(""https://docs.google.com/spreadsheets/d/1ItG2mGa2ceCfYo0BwxsXqNm01IGEUdYcSSLTEv9YCik/edit?usp=sharing"",""เบิกจ่ายกองทุน!AO80"")"),0)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IFERROR(__xludf.DUMMYFUNCTION("IMPORTRANGE(""https://docs.google.com/spreadsheets/d/1eHaY18a8A9IcSdp1K8H6x8fbOy06t2VsZHhMHf-1x7Y/edit?usp=sharing"",""แผน!Z80"")"),0)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IFERROR(__xludf.DUMMYFUNCTION("IMPORTRANGE(""https://docs.google.com/spreadsheets/d/1eHaY18a8A9IcSdp1K8H6x8fbOy06t2VsZHhMHf-1x7Y/edit?usp=sharing"",""แผน!Z80"")"),0)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IFERROR(__xludf.DUMMYFUNCTION("IMPORTRANGE(""https://docs.google.com/spreadsheets/d/1eHaY18a8A9IcSdp1K8H6x8fbOy06t2VsZHhMHf-1x7Y/edit?usp=sharing"",""แผน!Z80"")"),0)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17</v>
      </c>
      <c r="J172" s="214">
        <f>J183+J184</f>
        <v>7</v>
      </c>
      <c r="K172" s="215">
        <f ca="1">IF(I172&gt;0,J172*100/I172,0)</f>
        <v>41.176470588235297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40830</v>
      </c>
      <c r="N173" s="132">
        <f ca="1">N174+N175</f>
        <v>36650</v>
      </c>
      <c r="O173" s="132">
        <f ca="1">IF(L173&gt;0,N173*100/L173,0)</f>
        <v>187.08524757529352</v>
      </c>
      <c r="P173" s="132">
        <f ca="1">IF(M173&gt;0,N173*100/M173,0)</f>
        <v>89.762429586088658</v>
      </c>
      <c r="Q173" s="132">
        <f ca="1">Q174+Q175</f>
        <v>22960</v>
      </c>
      <c r="R173" s="132">
        <f ca="1">R174+R175</f>
        <v>22960</v>
      </c>
      <c r="S173" s="132">
        <f ca="1">S174+S175</f>
        <v>7140</v>
      </c>
      <c r="T173" s="132">
        <f ca="1">IF(Q173&gt;0,S173*100/Q173,0)</f>
        <v>31.097560975609756</v>
      </c>
      <c r="U173" s="132">
        <f ca="1">IF(R173&gt;0,S173*100/R173,0)</f>
        <v>31.097560975609756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40830</v>
      </c>
      <c r="N175" s="47">
        <f ca="1">N178+N181</f>
        <v>36650</v>
      </c>
      <c r="O175" s="47">
        <f ca="1">IF(L175&gt;0,N175*100/L175,0)</f>
        <v>187.08524757529352</v>
      </c>
      <c r="P175" s="47">
        <f ca="1">IF(M175&gt;0,N175*100/M175,0)</f>
        <v>89.762429586088658</v>
      </c>
      <c r="Q175" s="47">
        <f ca="1">Q178+Q181</f>
        <v>22960</v>
      </c>
      <c r="R175" s="47">
        <f ca="1">R178+R181</f>
        <v>22960</v>
      </c>
      <c r="S175" s="47">
        <f ca="1">S178+S181</f>
        <v>7140</v>
      </c>
      <c r="T175" s="47">
        <f ca="1">IF(Q175&gt;0,S175*100/Q175,0)</f>
        <v>31.097560975609756</v>
      </c>
      <c r="U175" s="47">
        <f ca="1">IF(R175&gt;0,S175*100/R175,0)</f>
        <v>31.097560975609756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40830</v>
      </c>
      <c r="N176" s="47">
        <f ca="1">N177+N178</f>
        <v>36650</v>
      </c>
      <c r="O176" s="47">
        <f ca="1">IF(L176&gt;0,N176*100/L176,0)</f>
        <v>187.08524757529352</v>
      </c>
      <c r="P176" s="47">
        <f ca="1">IF(M176&gt;0,N176*100/M176,0)</f>
        <v>89.762429586088658</v>
      </c>
      <c r="Q176" s="47">
        <f ca="1">Q177+Q178</f>
        <v>22960</v>
      </c>
      <c r="R176" s="47">
        <f ca="1">R177+R178</f>
        <v>22960</v>
      </c>
      <c r="S176" s="47">
        <f ca="1">S177+S178</f>
        <v>7140</v>
      </c>
      <c r="T176" s="47">
        <f ca="1">IF(Q176&gt;0,S176*100/Q176,0)</f>
        <v>31.097560975609756</v>
      </c>
      <c r="U176" s="47">
        <f ca="1">IF(R176&gt;0,S176*100/R176,0)</f>
        <v>31.097560975609756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IFERROR(__xludf.DUMMYFUNCTION("IMPORTRANGE(""https://docs.google.com/spreadsheets/d/1-uDff_7J0KD5mKrp0Vvzr7lt3OU09vwQwhkpOPPYv2Y/edit?usp=sharing"",""งบพรบ!CR80"")"),36650)</f>
        <v>36650</v>
      </c>
      <c r="O178" s="47">
        <f ca="1">IF(L178&gt;0,N178*100/L178,0)</f>
        <v>187.08524757529352</v>
      </c>
      <c r="P178" s="47">
        <f ca="1">IF(M178&gt;0,N178*100/M178,0)</f>
        <v>89.762429586088658</v>
      </c>
      <c r="Q178" s="47">
        <f ca="1">IFERROR(__xludf.DUMMYFUNCTION("IMPORTRANGE(""https://docs.google.com/spreadsheets/d/1ItG2mGa2ceCfYo0BwxsXqNm01IGEUdYcSSLTEv9YCik/edit?usp=sharing"",""เบิกจ่ายกองทุน!DG80"")"),22960)</f>
        <v>22960</v>
      </c>
      <c r="R178" s="47">
        <f ca="1">IFERROR(__xludf.DUMMYFUNCTION("IMPORTRANGE(""https://docs.google.com/spreadsheets/d/1ItG2mGa2ceCfYo0BwxsXqNm01IGEUdYcSSLTEv9YCik/edit?usp=sharing"",""เบิกจ่ายกองทุน!DH80"")"),22960)</f>
        <v>22960</v>
      </c>
      <c r="S178" s="47">
        <f ca="1">IFERROR(__xludf.DUMMYFUNCTION("IMPORTRANGE(""https://docs.google.com/spreadsheets/d/1ItG2mGa2ceCfYo0BwxsXqNm01IGEUdYcSSLTEv9YCik/edit?usp=sharing"",""เบิกจ่ายกองทุน!DI80"")"),7140)</f>
        <v>7140</v>
      </c>
      <c r="T178" s="47">
        <f ca="1">IF(Q178&gt;0,S178*100/Q178,0)</f>
        <v>31.097560975609756</v>
      </c>
      <c r="U178" s="47">
        <f ca="1">IF(R178&gt;0,S178*100/R178,0)</f>
        <v>31.097560975609756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IFERROR(__xludf.DUMMYFUNCTION("IMPORTRANGE(""https://docs.google.com/spreadsheets/d/1eHaY18a8A9IcSdp1K8H6x8fbOy06t2VsZHhMHf-1x7Y/edit?usp=sharing"",""แผน!AA80"")"),17)</f>
        <v>17</v>
      </c>
      <c r="J183" s="167">
        <v>7</v>
      </c>
      <c r="K183" s="47">
        <f ca="1">IF(I183&gt;0,J183*100/I183,0)</f>
        <v>41.176470588235297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107500</v>
      </c>
      <c r="N186" s="132">
        <f ca="1">N187+N188</f>
        <v>85114</v>
      </c>
      <c r="O186" s="132">
        <f ca="1">IF(L186&gt;0,N186*100/L186,0)</f>
        <v>80.676777251184831</v>
      </c>
      <c r="P186" s="132">
        <f ca="1">IF(M186&gt;0,N186*100/M186,0)</f>
        <v>79.175813953488372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107500</v>
      </c>
      <c r="N188" s="47">
        <f ca="1">N191+N194</f>
        <v>85114</v>
      </c>
      <c r="O188" s="47">
        <f ca="1">IF(L188&gt;0,N188*100/L188,0)</f>
        <v>80.676777251184831</v>
      </c>
      <c r="P188" s="47">
        <f ca="1">IF(M188&gt;0,N188*100/M188,0)</f>
        <v>79.175813953488372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107500</v>
      </c>
      <c r="N189" s="47">
        <f ca="1">N190+N191</f>
        <v>85114</v>
      </c>
      <c r="O189" s="47">
        <f ca="1">IF(L189&gt;0,N189*100/L189,0)</f>
        <v>80.676777251184831</v>
      </c>
      <c r="P189" s="47">
        <f ca="1">IF(M189&gt;0,N189*100/M189,0)</f>
        <v>79.175813953488372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IFERROR(__xludf.DUMMYFUNCTION("IMPORTRANGE(""https://docs.google.com/spreadsheets/d/1-uDff_7J0KD5mKrp0Vvzr7lt3OU09vwQwhkpOPPYv2Y/edit?usp=sharing"",""งบพรบ!CZ80"")"),107500)</f>
        <v>107500</v>
      </c>
      <c r="N191" s="47">
        <f ca="1">IFERROR(__xludf.DUMMYFUNCTION("IMPORTRANGE(""https://docs.google.com/spreadsheets/d/1-uDff_7J0KD5mKrp0Vvzr7lt3OU09vwQwhkpOPPYv2Y/edit?usp=sharing"",""งบพรบ!DB80"")"),85114)</f>
        <v>85114</v>
      </c>
      <c r="O191" s="47">
        <f ca="1">IF(L191&gt;0,N191*100/L191,0)</f>
        <v>80.676777251184831</v>
      </c>
      <c r="P191" s="47">
        <f ca="1">IF(M191&gt;0,N191*100/M191,0)</f>
        <v>79.175813953488372</v>
      </c>
      <c r="Q191" s="47">
        <f ca="1">IFERROR(__xludf.DUMMYFUNCTION("IMPORTRANGE(""https://docs.google.com/spreadsheets/d/1ItG2mGa2ceCfYo0BwxsXqNm01IGEUdYcSSLTEv9YCik/edit?usp=sharing"",""เบิกจ่ายกองทุน!BQ80"")"),0)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IFERROR(__xludf.DUMMYFUNCTION("IMPORTRANGE(""https://docs.google.com/spreadsheets/d/1ItG2mGa2ceCfYo0BwxsXqNm01IGEUdYcSSLTEv9YCik/edit?usp=sharing"",""เบิกจ่ายกองทุน!BR80"")"),0)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IFERROR(__xludf.DUMMYFUNCTION("IMPORTRANGE(""https://docs.google.com/spreadsheets/d/1ItG2mGa2ceCfYo0BwxsXqNm01IGEUdYcSSLTEv9YCik/edit?usp=sharing"",""เบิกจ่ายกองทุน!BS80"")"),0)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IFERROR(__xludf.DUMMYFUNCTION("IMPORTRANGE(""https://docs.google.com/spreadsheets/d/1ItG2mGa2ceCfYo0BwxsXqNm01IGEUdYcSSLTEv9YCik/edit?usp=sharing"",""เบิกจ่ายกองทุน!BT80"")"),0)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IFERROR(__xludf.DUMMYFUNCTION("IMPORTRANGE(""https://docs.google.com/spreadsheets/d/1ItG2mGa2ceCfYo0BwxsXqNm01IGEUdYcSSLTEv9YCik/edit?usp=sharing"",""เบิกจ่ายกองทุน!BU80"")"),0)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IFERROR(__xludf.DUMMYFUNCTION("IMPORTRANGE(""https://docs.google.com/spreadsheets/d/1ItG2mGa2ceCfYo0BwxsXqNm01IGEUdYcSSLTEv9YCik/edit?usp=sharing"",""เบิกจ่ายกองทุน!BV80"")"),0)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769">
        <v>2800</v>
      </c>
      <c r="O196" s="132">
        <f ca="1">IF(L196&gt;0,N196*100/L196,0)</f>
        <v>46.666666666666664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IFERROR(__xludf.DUMMYFUNCTION("IMPORTRANGE(""https://docs.google.com/spreadsheets/d/1eHaY18a8A9IcSdp1K8H6x8fbOy06t2VsZHhMHf-1x7Y/edit?usp=sharing"",""แผน!AE80"")"),4)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100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100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13000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IFERROR(__xludf.DUMMYFUNCTION("IMPORTRANGE(""https://docs.google.com/spreadsheets/d/1eHaY18a8A9IcSdp1K8H6x8fbOy06t2VsZHhMHf-1x7Y/edit?usp=sharing"",""แผน!AH80"")"),0)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743">
        <v>8000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IFERROR(__xludf.DUMMYFUNCTION("IMPORTRANGE(""https://docs.google.com/spreadsheets/d/1eHaY18a8A9IcSdp1K8H6x8fbOy06t2VsZHhMHf-1x7Y/edit?usp=sharing"",""แผน!LV80"")"),0)</f>
        <v>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IFERROR(__xludf.DUMMYFUNCTION("IMPORTRANGE(""https://docs.google.com/spreadsheets/d/1eHaY18a8A9IcSdp1K8H6x8fbOy06t2VsZHhMHf-1x7Y/edit?usp=sharing"",""แผน!AK80"")"),1)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IFERROR(__xludf.DUMMYFUNCTION("IMPORTRANGE(""https://docs.google.com/spreadsheets/d/1eHaY18a8A9IcSdp1K8H6x8fbOy06t2VsZHhMHf-1x7Y/edit?usp=sharing"",""แผน!JX80"")"),1)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IFERROR(__xludf.DUMMYFUNCTION("IMPORTRANGE(""https://docs.google.com/spreadsheets/d/1eHaY18a8A9IcSdp1K8H6x8fbOy06t2VsZHhMHf-1x7Y/edit?usp=sharing"",""แผน!JY80"")"),0)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IFERROR(__xludf.DUMMYFUNCTION("IMPORTRANGE(""https://docs.google.com/spreadsheets/d/1eHaY18a8A9IcSdp1K8H6x8fbOy06t2VsZHhMHf-1x7Y/edit?usp=sharing"",""แผน!AM80"")"),0)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IFERROR(__xludf.DUMMYFUNCTION("IMPORTRANGE(""https://docs.google.com/spreadsheets/d/1eHaY18a8A9IcSdp1K8H6x8fbOy06t2VsZHhMHf-1x7Y/edit?usp=sharing"",""แผน!AN80"")"),0)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IFERROR(__xludf.DUMMYFUNCTION("IMPORTRANGE(""https://docs.google.com/spreadsheets/d/1eHaY18a8A9IcSdp1K8H6x8fbOy06t2VsZHhMHf-1x7Y/edit?usp=sharing"",""แผน!AO80"")"),0)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IFERROR(__xludf.DUMMYFUNCTION("IMPORTRANGE(""https://docs.google.com/spreadsheets/d/1eHaY18a8A9IcSdp1K8H6x8fbOy06t2VsZHhMHf-1x7Y/edit?usp=sharing"",""แผน!LY80"")"),0)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IFERROR(__xludf.DUMMYFUNCTION("IMPORTRANGE(""https://docs.google.com/spreadsheets/d/1eHaY18a8A9IcSdp1K8H6x8fbOy06t2VsZHhMHf-1x7Y/edit?usp=sharing"",""แผน!AP80"")"),0)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IFERROR(__xludf.DUMMYFUNCTION("IMPORTRANGE(""https://docs.google.com/spreadsheets/d/1eHaY18a8A9IcSdp1K8H6x8fbOy06t2VsZHhMHf-1x7Y/edit?usp=sharing"",""แผน!AR80"")"),2500)</f>
        <v>2500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IFERROR(__xludf.DUMMYFUNCTION("IMPORTRANGE(""https://docs.google.com/spreadsheets/d/1eHaY18a8A9IcSdp1K8H6x8fbOy06t2VsZHhMHf-1x7Y/edit?usp=sharing"",""แผน!AS80"")"),2000)</f>
        <v>2000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IFERROR(__xludf.DUMMYFUNCTION("IMPORTRANGE(""https://docs.google.com/spreadsheets/d/1eHaY18a8A9IcSdp1K8H6x8fbOy06t2VsZHhMHf-1x7Y/edit?usp=sharing"",""แผน!AT80"")"),0)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IFERROR(__xludf.DUMMYFUNCTION("IMPORTRANGE(""https://docs.google.com/spreadsheets/d/1eHaY18a8A9IcSdp1K8H6x8fbOy06t2VsZHhMHf-1x7Y/edit?usp=sharing"",""แผน!AV80"")"),12800)</f>
        <v>12800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IFERROR(__xludf.DUMMYFUNCTION("IMPORTRANGE(""https://docs.google.com/spreadsheets/d/1eHaY18a8A9IcSdp1K8H6x8fbOy06t2VsZHhMHf-1x7Y/edit?usp=sharing"",""แผน!AU80"")"),0)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IFERROR(__xludf.DUMMYFUNCTION("IMPORTRANGE(""https://docs.google.com/spreadsheets/d/1eHaY18a8A9IcSdp1K8H6x8fbOy06t2VsZHhMHf-1x7Y/edit?usp=sharing"",""แผน!AX80"")"),0)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IFERROR(__xludf.DUMMYFUNCTION("IMPORTRANGE(""https://docs.google.com/spreadsheets/d/1eHaY18a8A9IcSdp1K8H6x8fbOy06t2VsZHhMHf-1x7Y/edit?usp=sharing"",""แผน!AY80"")"),0)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IFERROR(__xludf.DUMMYFUNCTION("IMPORTRANGE(""https://docs.google.com/spreadsheets/d/1eHaY18a8A9IcSdp1K8H6x8fbOy06t2VsZHhMHf-1x7Y/edit?usp=sharing"",""แผน!AZ80"")"),0)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IFERROR(__xludf.DUMMYFUNCTION("IMPORTRANGE(""https://docs.google.com/spreadsheets/d/1eHaY18a8A9IcSdp1K8H6x8fbOy06t2VsZHhMHf-1x7Y/edit?usp=sharing"",""แผน!BA80"")"),0)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IFERROR(__xludf.DUMMYFUNCTION("IMPORTRANGE(""https://docs.google.com/spreadsheets/d/1eHaY18a8A9IcSdp1K8H6x8fbOy06t2VsZHhMHf-1x7Y/edit?usp=sharing"",""แผน!BG80"")"),0)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IFERROR(__xludf.DUMMYFUNCTION("IMPORTRANGE(""https://docs.google.com/spreadsheets/d/1eHaY18a8A9IcSdp1K8H6x8fbOy06t2VsZHhMHf-1x7Y/edit?usp=sharing"",""แผน!BB80"")"),0)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IFERROR(__xludf.DUMMYFUNCTION("IMPORTRANGE(""https://docs.google.com/spreadsheets/d/1eHaY18a8A9IcSdp1K8H6x8fbOy06t2VsZHhMHf-1x7Y/edit?usp=sharing"",""แผน!BC80"")"),0)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IFERROR(__xludf.DUMMYFUNCTION("IMPORTRANGE(""https://docs.google.com/spreadsheets/d/1eHaY18a8A9IcSdp1K8H6x8fbOy06t2VsZHhMHf-1x7Y/edit?usp=sharing"",""แผน!BD80"")"),0)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IFERROR(__xludf.DUMMYFUNCTION("IMPORTRANGE(""https://docs.google.com/spreadsheets/d/1eHaY18a8A9IcSdp1K8H6x8fbOy06t2VsZHhMHf-1x7Y/edit?usp=sharing"",""แผน!BE80"")"),0)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IFERROR(__xludf.DUMMYFUNCTION("IMPORTRANGE(""https://docs.google.com/spreadsheets/d/1eHaY18a8A9IcSdp1K8H6x8fbOy06t2VsZHhMHf-1x7Y/edit?usp=sharing"",""แผน!BH80"")"),0)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20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47880</v>
      </c>
      <c r="R266" s="421">
        <f ca="1">R267+R268</f>
        <v>47880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47880</v>
      </c>
      <c r="R268" s="331">
        <f ca="1">R271+R274</f>
        <v>47880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47880</v>
      </c>
      <c r="R269" s="331">
        <f ca="1">R270+R271</f>
        <v>47880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IFERROR(__xludf.DUMMYFUNCTION("IMPORTRANGE(""https://docs.google.com/spreadsheets/d/1-uDff_7J0KD5mKrp0Vvzr7lt3OU09vwQwhkpOPPYv2Y/edit?usp=sharing"",""งบพรบ!DE80"")"),5000)</f>
        <v>5000</v>
      </c>
      <c r="M271" s="331">
        <f ca="1">IFERROR(__xludf.DUMMYFUNCTION("IMPORTRANGE(""https://docs.google.com/spreadsheets/d/1-uDff_7J0KD5mKrp0Vvzr7lt3OU09vwQwhkpOPPYv2Y/edit?usp=sharing"",""งบพรบ!DJ80"")"),5000)</f>
        <v>5000</v>
      </c>
      <c r="N271" s="331">
        <f ca="1">IFERROR(__xludf.DUMMYFUNCTION("IMPORTRANGE(""https://docs.google.com/spreadsheets/d/1-uDff_7J0KD5mKrp0Vvzr7lt3OU09vwQwhkpOPPYv2Y/edit?usp=sharing"",""งบพรบ!DL80"")"),5000)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IFERROR(__xludf.DUMMYFUNCTION("IMPORTRANGE(""https://docs.google.com/spreadsheets/d/1ItG2mGa2ceCfYo0BwxsXqNm01IGEUdYcSSLTEv9YCik/edit?usp=sharing"",""เบิกจ่ายกองทุน!AP80"")"),47880)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IFERROR(__xludf.DUMMYFUNCTION("IMPORTRANGE(""https://docs.google.com/spreadsheets/d/1ItG2mGa2ceCfYo0BwxsXqNm01IGEUdYcSSLTEv9YCik/edit?usp=sharing"",""เบิกจ่ายกองทุน!AQ80"")"),47880)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IFERROR(__xludf.DUMMYFUNCTION("IMPORTRANGE(""https://docs.google.com/spreadsheets/d/1ItG2mGa2ceCfYo0BwxsXqNm01IGEUdYcSSLTEv9YCik/edit?usp=sharing"",""เบิกจ่ายกองทุน!AR80"")"),0)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IFERROR(__xludf.DUMMYFUNCTION("IMPORTRANGE(""https://docs.google.com/spreadsheets/d/1-uDff_7J0KD5mKrp0Vvzr7lt3OU09vwQwhkpOPPYv2Y/edit?usp=sharing"",""งบพรบ!DH80"")"),0)</f>
        <v>0</v>
      </c>
      <c r="M274" s="331">
        <f ca="1">IFERROR(__xludf.DUMMYFUNCTION("IMPORTRANGE(""https://docs.google.com/spreadsheets/d/1-uDff_7J0KD5mKrp0Vvzr7lt3OU09vwQwhkpOPPYv2Y/edit?usp=sharing"",""งบพรบ!DK80"")"),0)</f>
        <v>0</v>
      </c>
      <c r="N274" s="331">
        <f ca="1">IFERROR(__xludf.DUMMYFUNCTION("IMPORTRANGE(""https://docs.google.com/spreadsheets/d/1-uDff_7J0KD5mKrp0Vvzr7lt3OU09vwQwhkpOPPYv2Y/edit?usp=sharing"",""งบพรบ!DM80"")"),0)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883"/>
      <c r="B276" s="882"/>
      <c r="C276" s="882"/>
      <c r="D276" s="881" t="s">
        <v>115</v>
      </c>
      <c r="E276" s="880"/>
      <c r="F276" s="880"/>
      <c r="G276" s="879"/>
      <c r="H276" s="878" t="s">
        <v>35</v>
      </c>
      <c r="I276" s="877">
        <f ca="1">IFERROR(__xludf.DUMMYFUNCTION("IMPORTRANGE(""https://docs.google.com/spreadsheets/d/1eHaY18a8A9IcSdp1K8H6x8fbOy06t2VsZHhMHf-1x7Y/edit?usp=sharing"",""แผน!EC80"")"),20)</f>
        <v>20</v>
      </c>
      <c r="J276" s="876">
        <v>20</v>
      </c>
      <c r="K276" s="875">
        <f ca="1">IF(I276&gt;0,J276*100/I276,0)</f>
        <v>100</v>
      </c>
      <c r="L276" s="553"/>
      <c r="M276" s="332"/>
      <c r="N276" s="332"/>
      <c r="O276" s="332"/>
      <c r="P276" s="332"/>
      <c r="Q276" s="332"/>
      <c r="R276" s="332"/>
      <c r="S276" s="332"/>
      <c r="T276" s="332"/>
      <c r="U276" s="332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IFERROR(__xludf.DUMMYFUNCTION("IMPORTRANGE(""https://docs.google.com/spreadsheets/d/1eHaY18a8A9IcSdp1K8H6x8fbOy06t2VsZHhMHf-1x7Y/edit?usp=sharing"",""แผน!EE80"")"),0)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IFERROR(__xludf.DUMMYFUNCTION("IMPORTRANGE(""https://docs.google.com/spreadsheets/d/1eHaY18a8A9IcSdp1K8H6x8fbOy06t2VsZHhMHf-1x7Y/edit?usp=sharing"",""แผน!ED80"")"),0)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IFERROR(__xludf.DUMMYFUNCTION("IMPORTRANGE(""https://docs.google.com/spreadsheets/d/1eHaY18a8A9IcSdp1K8H6x8fbOy06t2VsZHhMHf-1x7Y/edit?usp=sharing"",""แผน!ED80"")"),0)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20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109952</v>
      </c>
      <c r="T303" s="132">
        <f ca="1">IF(Q303&gt;0,S303*100/Q303,0)</f>
        <v>56.498060576843187</v>
      </c>
      <c r="U303" s="132">
        <f ca="1">IF(R303&gt;0,S303*100/R303,0)</f>
        <v>56.498057673730294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194611.99</v>
      </c>
      <c r="R305" s="47">
        <f ca="1">R308+R311</f>
        <v>194612</v>
      </c>
      <c r="S305" s="47">
        <f ca="1">S308+S311</f>
        <v>109952</v>
      </c>
      <c r="T305" s="47">
        <f ca="1">IF(Q305&gt;0,S305*100/Q305,0)</f>
        <v>56.498060576843187</v>
      </c>
      <c r="U305" s="47">
        <f ca="1">IF(R305&gt;0,S305*100/R305,0)</f>
        <v>56.498057673730294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109952</v>
      </c>
      <c r="T306" s="47">
        <f ca="1">IF(Q306&gt;0,S306*100/Q306,0)</f>
        <v>56.498060576843187</v>
      </c>
      <c r="U306" s="47">
        <f ca="1">IF(R306&gt;0,S306*100/R306,0)</f>
        <v>56.498057673730294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IFERROR(__xludf.DUMMYFUNCTION("IMPORTRANGE(""https://docs.google.com/spreadsheets/d/1ItG2mGa2ceCfYo0BwxsXqNm01IGEUdYcSSLTEv9YCik/edit?usp=sharing"",""เบิกจ่ายกองทุน!BC80"")"),194612)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IFERROR(__xludf.DUMMYFUNCTION("IMPORTRANGE(""https://docs.google.com/spreadsheets/d/1ItG2mGa2ceCfYo0BwxsXqNm01IGEUdYcSSLTEv9YCik/edit?usp=sharing"",""เบิกจ่ายกองทุน!BD80"")"),109952)</f>
        <v>109952</v>
      </c>
      <c r="T308" s="47">
        <f ca="1">IF(Q308&gt;0,S308*100/Q308,0)</f>
        <v>56.498060576843187</v>
      </c>
      <c r="U308" s="47">
        <f ca="1">IF(R308&gt;0,S308*100/R308,0)</f>
        <v>56.498057673730294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IFERROR(__xludf.DUMMYFUNCTION("IMPORTRANGE(""https://docs.google.com/spreadsheets/d/1eHaY18a8A9IcSdp1K8H6x8fbOy06t2VsZHhMHf-1x7Y/edit?usp=sharing"",""แผน!EF80"")"),20)</f>
        <v>20</v>
      </c>
      <c r="J314" s="167">
        <v>20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IFERROR(__xludf.DUMMYFUNCTION("IMPORTRANGE(""https://docs.google.com/spreadsheets/d/1eHaY18a8A9IcSdp1K8H6x8fbOy06t2VsZHhMHf-1x7Y/edit?usp=sharing"",""แผน!EJ80"")"),0)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200</v>
      </c>
      <c r="J332" s="697">
        <f ca="1">J344+J347+J348+J349+J353</f>
        <v>782</v>
      </c>
      <c r="K332" s="696">
        <f ca="1">IF(I332&gt;0,J332*100/I332,0)</f>
        <v>391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108495</v>
      </c>
      <c r="O333" s="132">
        <f ca="1">IF(L333&gt;0,N333*100/L333,0)</f>
        <v>63.078488372093027</v>
      </c>
      <c r="P333" s="132">
        <f ca="1">IF(M333&gt;0,N333*100/M333,0)</f>
        <v>63.078488372093027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108495</v>
      </c>
      <c r="O335" s="47">
        <f ca="1">IF(L335&gt;0,N335*100/L335,0)</f>
        <v>63.078488372093027</v>
      </c>
      <c r="P335" s="47">
        <f ca="1">IF(M335&gt;0,N335*100/M335,0)</f>
        <v>63.078488372093027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108495</v>
      </c>
      <c r="O336" s="47">
        <f ca="1">IF(L336&gt;0,N336*100/L336,0)</f>
        <v>63.078488372093027</v>
      </c>
      <c r="P336" s="47">
        <f ca="1">IF(M336&gt;0,N336*100/M336,0)</f>
        <v>63.078488372093027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IFERROR(__xludf.DUMMYFUNCTION("IMPORTRANGE(""https://docs.google.com/spreadsheets/d/1-uDff_7J0KD5mKrp0Vvzr7lt3OU09vwQwhkpOPPYv2Y/edit?usp=sharing"",""งบพรบ!ES80"")"),172000)</f>
        <v>172000</v>
      </c>
      <c r="M338" s="47">
        <f ca="1">IFERROR(__xludf.DUMMYFUNCTION("IMPORTRANGE(""https://docs.google.com/spreadsheets/d/1-uDff_7J0KD5mKrp0Vvzr7lt3OU09vwQwhkpOPPYv2Y/edit?usp=sharing"",""งบพรบ!EX80"")"),172000)</f>
        <v>172000</v>
      </c>
      <c r="N338" s="47">
        <f ca="1">IFERROR(__xludf.DUMMYFUNCTION("IMPORTRANGE(""https://docs.google.com/spreadsheets/d/1-uDff_7J0KD5mKrp0Vvzr7lt3OU09vwQwhkpOPPYv2Y/edit?usp=sharing"",""งบพรบ!EZ80"")"),108495)</f>
        <v>108495</v>
      </c>
      <c r="O338" s="47">
        <f ca="1">IF(L338&gt;0,N338*100/L338,0)</f>
        <v>63.078488372093027</v>
      </c>
      <c r="P338" s="47">
        <f ca="1">IF(M338&gt;0,N338*100/M338,0)</f>
        <v>63.078488372093027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149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IFERROR(__xludf.DUMMYFUNCTION("IMPORTRANGE(""https://docs.google.com/spreadsheets/d/1eHaY18a8A9IcSdp1K8H6x8fbOy06t2VsZHhMHf-1x7Y/edit?usp=sharing"",""แผน!EK80"")"),200)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 ca="1">IF(I344&gt;0,J344*100/I344,0)</f>
        <v>73.5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IFERROR(__xludf.DUMMYFUNCTION("IMPORTRANGE(""https://docs.google.com/spreadsheets/d/1eHaY18a8A9IcSdp1K8H6x8fbOy06t2VsZHhMHf-1x7Y/edit?usp=sharing"",""แผน!EL80"")"),1)</f>
        <v>1</v>
      </c>
      <c r="J346" s="15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682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IFERROR(__xludf.DUMMYFUNCTION("IMPORTRANGE(""https://docs.google.com/spreadsheets/d/1awYsYK3VOup2i3Pq_Yjnu8DRu_mYwSBnCR2QPthd0rU/edit?usp=sharing"",""โฉนดM3!G80"")"),49)</f>
        <v>49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IFERROR(__xludf.DUMMYFUNCTION("IMPORTRANGE(""https://docs.google.com/spreadsheets/d/1awYsYK3VOup2i3Pq_Yjnu8DRu_mYwSBnCR2QPthd0rU/edit?usp=sharing"",""โฉนดM3!H80"")"),633)</f>
        <v>633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847300</v>
      </c>
      <c r="M356" s="132">
        <f ca="1">M357+M358</f>
        <v>900300</v>
      </c>
      <c r="N356" s="132">
        <f ca="1">N357+N358</f>
        <v>614966.44999999995</v>
      </c>
      <c r="O356" s="132">
        <f ca="1">IF(L356&gt;0,N356*100/L356,0)</f>
        <v>72.579540894606382</v>
      </c>
      <c r="P356" s="132">
        <f ca="1">IF(M356&gt;0,N356*100/M356,0)</f>
        <v>68.306836610018877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847300</v>
      </c>
      <c r="M358" s="47">
        <f ca="1">M361+M364</f>
        <v>900300</v>
      </c>
      <c r="N358" s="47">
        <f ca="1">N361+N364</f>
        <v>614966.44999999995</v>
      </c>
      <c r="O358" s="47">
        <f ca="1">IF(L358&gt;0,N358*100/L358,0)</f>
        <v>72.579540894606382</v>
      </c>
      <c r="P358" s="47">
        <f ca="1">IF(M358&gt;0,N358*100/M358,0)</f>
        <v>68.306836610018877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847300</v>
      </c>
      <c r="M359" s="47">
        <f ca="1">M360+M361</f>
        <v>900300</v>
      </c>
      <c r="N359" s="47">
        <f ca="1">N360+N361</f>
        <v>614966.44999999995</v>
      </c>
      <c r="O359" s="47">
        <f ca="1">IF(L359&gt;0,N359*100/L359,0)</f>
        <v>72.579540894606382</v>
      </c>
      <c r="P359" s="47">
        <f ca="1">IF(M359&gt;0,N359*100/M359,0)</f>
        <v>68.306836610018877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IFERROR(__xludf.DUMMYFUNCTION("IMPORTRANGE(""https://docs.google.com/spreadsheets/d/1-uDff_7J0KD5mKrp0Vvzr7lt3OU09vwQwhkpOPPYv2Y/edit?usp=sharing"",""งบพรบ!FC80"")"),847300)</f>
        <v>847300</v>
      </c>
      <c r="M361" s="47">
        <f ca="1">IFERROR(__xludf.DUMMYFUNCTION("IMPORTRANGE(""https://docs.google.com/spreadsheets/d/1-uDff_7J0KD5mKrp0Vvzr7lt3OU09vwQwhkpOPPYv2Y/edit?usp=sharing"",""งบพรบ!FH80"")"),900300)</f>
        <v>900300</v>
      </c>
      <c r="N361" s="47">
        <f ca="1">IFERROR(__xludf.DUMMYFUNCTION("IMPORTRANGE(""https://docs.google.com/spreadsheets/d/1-uDff_7J0KD5mKrp0Vvzr7lt3OU09vwQwhkpOPPYv2Y/edit?usp=sharing"",""งบพรบ!FJ80"")"),614966.45)</f>
        <v>614966.44999999995</v>
      </c>
      <c r="O361" s="47">
        <f ca="1">IF(L361&gt;0,N361*100/L361,0)</f>
        <v>72.579540894606382</v>
      </c>
      <c r="P361" s="47">
        <f ca="1">IF(M361&gt;0,N361*100/M361,0)</f>
        <v>68.306836610018877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32</v>
      </c>
      <c r="J365" s="228">
        <f ca="1">J371</f>
        <v>53</v>
      </c>
      <c r="K365" s="229">
        <f ca="1">IF(I365&gt;0,J365*100/I365,0)</f>
        <v>165.625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IFERROR(__xludf.DUMMYFUNCTION("IMPORTRANGE(""https://docs.google.com/spreadsheets/d/1tdoBKaGub7dwA3U6UFTqxio9LNnvDCQjHKmttSEBsFQ/edit?usp=sharing"",""จัดที่ดิน!AB80"")"),39)</f>
        <v>39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IFERROR(__xludf.DUMMYFUNCTION("IMPORTRANGE(""https://docs.google.com/spreadsheets/d/1eHaY18a8A9IcSdp1K8H6x8fbOy06t2VsZHhMHf-1x7Y/edit?usp=sharing"",""แผน!EW80"")"),185)</f>
        <v>185</v>
      </c>
      <c r="J368" s="685">
        <f ca="1">IFERROR(__xludf.DUMMYFUNCTION("IMPORTRANGE(""https://docs.google.com/spreadsheets/d/1tdoBKaGub7dwA3U6UFTqxio9LNnvDCQjHKmttSEBsFQ/edit?usp=sharing"",""จัดที่ดิน!AC80"")"),156.75)</f>
        <v>156.75</v>
      </c>
      <c r="K368" s="47">
        <f ca="1">IF(I368&gt;0,J368*100/I368,0)</f>
        <v>84.729729729729726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IFERROR(__xludf.DUMMYFUNCTION("IMPORTRANGE(""https://docs.google.com/spreadsheets/d/1eHaY18a8A9IcSdp1K8H6x8fbOy06t2VsZHhMHf-1x7Y/edit?usp=sharing"",""แผน!EX80"")"),32)</f>
        <v>32</v>
      </c>
      <c r="J369" s="152">
        <f ca="1">IFERROR(__xludf.DUMMYFUNCTION("IMPORTRANGE(""https://docs.google.com/spreadsheets/d/1tdoBKaGub7dwA3U6UFTqxio9LNnvDCQjHKmttSEBsFQ/edit?usp=sharing"",""จัดที่ดิน!AD80"")"),80)</f>
        <v>80</v>
      </c>
      <c r="K369" s="47">
        <f ca="1">IF(I369&gt;0,J369*100/I369,0)</f>
        <v>250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IFERROR(__xludf.DUMMYFUNCTION("IMPORTRANGE(""https://docs.google.com/spreadsheets/d/1tdoBKaGub7dwA3U6UFTqxio9LNnvDCQjHKmttSEBsFQ/edit?usp=sharing"",""จัดที่ดิน!AE80"")"),426.84)</f>
        <v>426.84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IFERROR(__xludf.DUMMYFUNCTION("IMPORTRANGE(""https://docs.google.com/spreadsheets/d/1eHaY18a8A9IcSdp1K8H6x8fbOy06t2VsZHhMHf-1x7Y/edit?usp=sharing"",""แผน!EY80"")"),32)</f>
        <v>32</v>
      </c>
      <c r="J371" s="152">
        <f ca="1">IFERROR(__xludf.DUMMYFUNCTION("IMPORTRANGE(""https://docs.google.com/spreadsheets/d/1tdoBKaGub7dwA3U6UFTqxio9LNnvDCQjHKmttSEBsFQ/edit?usp=sharing"",""จัดที่ดิน!AF80"")"),53)</f>
        <v>53</v>
      </c>
      <c r="K371" s="47">
        <f ca="1">IF(I371&gt;0,J371*100/I371,0)</f>
        <v>165.625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IFERROR(__xludf.DUMMYFUNCTION("IMPORTRANGE(""https://docs.google.com/spreadsheets/d/1tdoBKaGub7dwA3U6UFTqxio9LNnvDCQjHKmttSEBsFQ/edit?usp=sharing"",""จัดที่ดิน!AG80"")"),326)</f>
        <v>326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300</v>
      </c>
      <c r="J374" s="677">
        <f ca="1">J386+J388</f>
        <v>127</v>
      </c>
      <c r="K374" s="676">
        <f ca="1">IF(I374&gt;0,J374*100/I374,0)</f>
        <v>42.333333333333336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IFERROR(__xludf.DUMMYFUNCTION("IMPORTRANGE(""https://docs.google.com/spreadsheets/d/1-uDff_7J0KD5mKrp0Vvzr7lt3OU09vwQwhkpOPPYv2Y/edit?usp=sharing"",""งบพรบ!IE80"")"),45100)</f>
        <v>45100</v>
      </c>
      <c r="M380" s="47">
        <f ca="1">IFERROR(__xludf.DUMMYFUNCTION("IMPORTRANGE(""https://docs.google.com/spreadsheets/d/1-uDff_7J0KD5mKrp0Vvzr7lt3OU09vwQwhkpOPPYv2Y/edit?usp=sharing"",""งบพรบ!IJ80"")"),45100)</f>
        <v>45100</v>
      </c>
      <c r="N380" s="47">
        <f ca="1">IFERROR(__xludf.DUMMYFUNCTION("IMPORTRANGE(""https://docs.google.com/spreadsheets/d/1-uDff_7J0KD5mKrp0Vvzr7lt3OU09vwQwhkpOPPYv2Y/edit?usp=sharing"",""งบพรบ!IL80"")"),0)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IFERROR(__xludf.DUMMYFUNCTION("IMPORTRANGE(""https://docs.google.com/spreadsheets/d/1ItG2mGa2ceCfYo0BwxsXqNm01IGEUdYcSSLTEv9YCik/edit?usp=sharing"",""เบิกจ่ายกองทุน!BX80"")"),18750)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IFERROR(__xludf.DUMMYFUNCTION("IMPORTRANGE(""https://docs.google.com/spreadsheets/d/1ItG2mGa2ceCfYo0BwxsXqNm01IGEUdYcSSLTEv9YCik/edit?usp=sharing"",""เบิกจ่ายกองทุน!BY80"")"),0)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IFERROR(__xludf.DUMMYFUNCTION("IMPORTRANGE(""https://docs.google.com/spreadsheets/d/1-uDff_7J0KD5mKrp0Vvzr7lt3OU09vwQwhkpOPPYv2Y/edit?usp=sharing"",""งบพรบ!IH80"")"),0)</f>
        <v>0</v>
      </c>
      <c r="M383" s="47">
        <f ca="1">IFERROR(__xludf.DUMMYFUNCTION("IMPORTRANGE(""https://docs.google.com/spreadsheets/d/1-uDff_7J0KD5mKrp0Vvzr7lt3OU09vwQwhkpOPPYv2Y/edit?usp=sharing"",""งบพรบ!IK80"")"),0)</f>
        <v>0</v>
      </c>
      <c r="N383" s="47">
        <f ca="1">IFERROR(__xludf.DUMMYFUNCTION("IMPORTRANGE(""https://docs.google.com/spreadsheets/d/1-uDff_7J0KD5mKrp0Vvzr7lt3OU09vwQwhkpOPPYv2Y/edit?usp=sharing"",""งบพรบ!IM80"")"),0)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IFERROR(__xludf.DUMMYFUNCTION("IMPORTRANGE(""https://docs.google.com/spreadsheets/d/1w5rwWK1o49a35cNtocGL0gxDwhFSTZUQu90BiH9_zqM/edit?usp=sharing"",""RTK!H80"")"),23)</f>
        <v>23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IFERROR(__xludf.DUMMYFUNCTION("IMPORTRANGE(""https://docs.google.com/spreadsheets/d/1w5rwWK1o49a35cNtocGL0gxDwhFSTZUQu90BiH9_zqM/edit?usp=sharing"",""RTK!G80"")"),300)</f>
        <v>300</v>
      </c>
      <c r="J386" s="152">
        <f ca="1">IFERROR(__xludf.DUMMYFUNCTION("IMPORTRANGE(""https://docs.google.com/spreadsheets/d/1w5rwWK1o49a35cNtocGL0gxDwhFSTZUQu90BiH9_zqM/edit?usp=sharing"",""RTK!I80"")"),127)</f>
        <v>127</v>
      </c>
      <c r="K386" s="47">
        <f ca="1">IF(I386&gt;0,J386*100/I386,0)</f>
        <v>42.333333333333336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IFERROR(__xludf.DUMMYFUNCTION("IMPORTRANGE(""https://docs.google.com/spreadsheets/d/1w5rwWK1o49a35cNtocGL0gxDwhFSTZUQu90BiH9_zqM/edit?usp=sharing"",""RTK!L80"")"),0)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IFERROR(__xludf.DUMMYFUNCTION("IMPORTRANGE(""https://docs.google.com/spreadsheets/d/1w5rwWK1o49a35cNtocGL0gxDwhFSTZUQu90BiH9_zqM/edit?usp=sharing"",""RTK!K80"")"),0)</f>
        <v>0</v>
      </c>
      <c r="J388" s="330">
        <f ca="1">IFERROR(__xludf.DUMMYFUNCTION("IMPORTRANGE(""https://docs.google.com/spreadsheets/d/1w5rwWK1o49a35cNtocGL0gxDwhFSTZUQu90BiH9_zqM/edit?usp=sharing"",""RTK!M80"")"),0)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IFERROR(__xludf.DUMMYFUNCTION("IMPORTRANGE(""https://docs.google.com/spreadsheets/d/1ItG2mGa2ceCfYo0BwxsXqNm01IGEUdYcSSLTEv9YCik/edit?usp=sharing"",""เบิกจ่ายกองทุน!CL80"")"),0)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IFERROR(__xludf.DUMMYFUNCTION("IMPORTRANGE(""https://docs.google.com/spreadsheets/d/1ItG2mGa2ceCfYo0BwxsXqNm01IGEUdYcSSLTEv9YCik/edit?usp=sharing"",""เบิกจ่ายกองทุน!CM80"")"),0)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IFERROR(__xludf.DUMMYFUNCTION("IMPORTRANGE(""https://docs.google.com/spreadsheets/d/1ItG2mGa2ceCfYo0BwxsXqNm01IGEUdYcSSLTEv9YCik/edit?usp=sharing"",""เบิกจ่ายกองทุน!CN80"")"),0)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9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IFERROR(__xludf.DUMMYFUNCTION("IMPORTRANGE(""https://docs.google.com/spreadsheets/d/1-uDff_7J0KD5mKrp0Vvzr7lt3OU09vwQwhkpOPPYv2Y/edit?usp=sharing"",""งบพรบ!IO80"")"),0)</f>
        <v>0</v>
      </c>
      <c r="M418" s="47">
        <f ca="1">IFERROR(__xludf.DUMMYFUNCTION("IMPORTRANGE(""https://docs.google.com/spreadsheets/d/1-uDff_7J0KD5mKrp0Vvzr7lt3OU09vwQwhkpOPPYv2Y/edit?usp=sharing"",""งบพรบ!IT80"")"),0)</f>
        <v>0</v>
      </c>
      <c r="N418" s="47">
        <f ca="1">IFERROR(__xludf.DUMMYFUNCTION("IMPORTRANGE(""https://docs.google.com/spreadsheets/d/1-uDff_7J0KD5mKrp0Vvzr7lt3OU09vwQwhkpOPPYv2Y/edit?usp=sharing"",""งบพรบ!IV80"")"),0)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IFERROR(__xludf.DUMMYFUNCTION("IMPORTRANGE(""https://docs.google.com/spreadsheets/d/1ItG2mGa2ceCfYo0BwxsXqNm01IGEUdYcSSLTEv9YCik/edit?usp=sharing"",""เบิกจ่ายกองทุน!CB80"")"),0)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IFERROR(__xludf.DUMMYFUNCTION("IMPORTRANGE(""https://docs.google.com/spreadsheets/d/1-uDff_7J0KD5mKrp0Vvzr7lt3OU09vwQwhkpOPPYv2Y/edit?usp=sharing"",""งบพรบ!IR80"")"),0)</f>
        <v>0</v>
      </c>
      <c r="M421" s="47">
        <f ca="1">IFERROR(__xludf.DUMMYFUNCTION("IMPORTRANGE(""https://docs.google.com/spreadsheets/d/1-uDff_7J0KD5mKrp0Vvzr7lt3OU09vwQwhkpOPPYv2Y/edit?usp=sharing"",""งบพรบ!IU80"")"),0)</f>
        <v>0</v>
      </c>
      <c r="N421" s="47">
        <f ca="1">IFERROR(__xludf.DUMMYFUNCTION("IMPORTRANGE(""https://docs.google.com/spreadsheets/d/1-uDff_7J0KD5mKrp0Vvzr7lt3OU09vwQwhkpOPPYv2Y/edit?usp=sharing"",""งบพรบ!IW80"")"),0)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ca="1">I440</f>
        <v>0</v>
      </c>
      <c r="J423" s="672">
        <f>J440</f>
        <v>0</v>
      </c>
      <c r="K423" s="132">
        <f ca="1">IF(I423&gt;0,J423*100/I423,0)</f>
        <v>0</v>
      </c>
      <c r="L423" s="5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IFERROR(__xludf.DUMMYFUNCTION("IMPORTRANGE(""https://docs.google.com/spreadsheets/d/1eHaY18a8A9IcSdp1K8H6x8fbOy06t2VsZHhMHf-1x7Y/edit?usp=sharing"",""แผน!HJ80"")"),0)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IFERROR(__xludf.DUMMYFUNCTION("IMPORTRANGE(""https://docs.google.com/spreadsheets/d/1eHaY18a8A9IcSdp1K8H6x8fbOy06t2VsZHhMHf-1x7Y/edit?usp=sharing"",""แผน!HK80"")"),0)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IFERROR(__xludf.DUMMYFUNCTION("IMPORTRANGE(""https://docs.google.com/spreadsheets/d/1eHaY18a8A9IcSdp1K8H6x8fbOy06t2VsZHhMHf-1x7Y/edit?usp=sharing"",""แผน!HJ80"")"),0)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IFERROR(__xludf.DUMMYFUNCTION("IMPORTRANGE(""https://docs.google.com/spreadsheets/d/1eHaY18a8A9IcSdp1K8H6x8fbOy06t2VsZHhMHf-1x7Y/edit?usp=sharing"",""แผน!HK80"")"),0)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IFERROR(__xludf.DUMMYFUNCTION("IMPORTRANGE(""https://docs.google.com/spreadsheets/d/1eHaY18a8A9IcSdp1K8H6x8fbOy06t2VsZHhMHf-1x7Y/edit?usp=sharing"",""แผน!HJ80"")"),0)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IFERROR(__xludf.DUMMYFUNCTION("IMPORTRANGE(""https://docs.google.com/spreadsheets/d/1eHaY18a8A9IcSdp1K8H6x8fbOy06t2VsZHhMHf-1x7Y/edit?usp=sharing"",""แผน!HK80"")"),0)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ca="1">I457</f>
        <v>0</v>
      </c>
      <c r="J456" s="667">
        <f>J457</f>
        <v>0</v>
      </c>
      <c r="K456" s="132">
        <f ca="1">IF(I456&gt;0,J456*100/I456,0)</f>
        <v>0</v>
      </c>
      <c r="L456" s="5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IFERROR(__xludf.DUMMYFUNCTION("IMPORTRANGE(""https://docs.google.com/spreadsheets/d/1eHaY18a8A9IcSdp1K8H6x8fbOy06t2VsZHhMHf-1x7Y/edit?usp=sharing"",""แผน!HL80"")"),0)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IFERROR(__xludf.DUMMYFUNCTION("IMPORTRANGE(""https://docs.google.com/spreadsheets/d/1eHaY18a8A9IcSdp1K8H6x8fbOy06t2VsZHhMHf-1x7Y/edit?usp=sharing"",""แผน!HM80"")"),0)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667">
        <f>J478+J480</f>
        <v>0</v>
      </c>
      <c r="K475" s="132">
        <f>IF(I475&gt;0,J475*100/I475,0)</f>
        <v>0</v>
      </c>
      <c r="L475" s="5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657">
        <f>J478+J480</f>
        <v>0</v>
      </c>
      <c r="K476" s="132">
        <f>IF(I476&gt;0,J476*100/I476,0)</f>
        <v>0</v>
      </c>
      <c r="L476" s="5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657">
        <f>J479+J481</f>
        <v>0</v>
      </c>
      <c r="K477" s="132">
        <f>IF(I477&gt;0,J477*100/I477,0)</f>
        <v>0</v>
      </c>
      <c r="L477" s="5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657">
        <f>J486+J488+J490</f>
        <v>0</v>
      </c>
      <c r="K484" s="132">
        <f>IF(I484&gt;0,J484*100/I484,0)</f>
        <v>0</v>
      </c>
      <c r="L484" s="5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657">
        <f>J487+J489+J491</f>
        <v>0</v>
      </c>
      <c r="K485" s="132">
        <f>IF(I485&gt;0,J485*100/I485,0)</f>
        <v>0</v>
      </c>
      <c r="L485" s="5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IFERROR(__xludf.DUMMYFUNCTION("IMPORTRANGE(""https://docs.google.com/spreadsheets/d/1-uDff_7J0KD5mKrp0Vvzr7lt3OU09vwQwhkpOPPYv2Y/edit?usp=sharing"",""งบพรบ!HU80"")"),0)</f>
        <v>0</v>
      </c>
      <c r="M498" s="47">
        <f ca="1">IFERROR(__xludf.DUMMYFUNCTION("IMPORTRANGE(""https://docs.google.com/spreadsheets/d/1-uDff_7J0KD5mKrp0Vvzr7lt3OU09vwQwhkpOPPYv2Y/edit?usp=sharing"",""งบพรบ!HZ80"")"),0)</f>
        <v>0</v>
      </c>
      <c r="N498" s="47">
        <f ca="1">IFERROR(__xludf.DUMMYFUNCTION("IMPORTRANGE(""https://docs.google.com/spreadsheets/d/1-uDff_7J0KD5mKrp0Vvzr7lt3OU09vwQwhkpOPPYv2Y/edit?usp=sharing"",""งบพรบ!IB80"")"),0)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IFERROR(__xludf.DUMMYFUNCTION("IMPORTRANGE(""https://docs.google.com/spreadsheets/d/1ItG2mGa2ceCfYo0BwxsXqNm01IGEUdYcSSLTEv9YCik/edit?usp=sharing"",""เบิกจ่ายกองทุน!AF80"")"),0)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IFERROR(__xludf.DUMMYFUNCTION("IMPORTRANGE(""https://docs.google.com/spreadsheets/d/1-uDff_7J0KD5mKrp0Vvzr7lt3OU09vwQwhkpOPPYv2Y/edit?usp=sharing"",""งบพรบ!HX80"")"),0)</f>
        <v>0</v>
      </c>
      <c r="M501" s="47">
        <f ca="1">IFERROR(__xludf.DUMMYFUNCTION("IMPORTRANGE(""https://docs.google.com/spreadsheets/d/1-uDff_7J0KD5mKrp0Vvzr7lt3OU09vwQwhkpOPPYv2Y/edit?usp=sharing"",""งบพรบ!IA80"")"),0)</f>
        <v>0</v>
      </c>
      <c r="N501" s="47">
        <f ca="1">IFERROR(__xludf.DUMMYFUNCTION("IMPORTRANGE(""https://docs.google.com/spreadsheets/d/1-uDff_7J0KD5mKrp0Vvzr7lt3OU09vwQwhkpOPPYv2Y/edit?usp=sharing"",""งบพรบ!IC80"")"),0)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IFERROR(__xludf.DUMMYFUNCTION("IMPORTRANGE(""https://docs.google.com/spreadsheets/d/1eHaY18a8A9IcSdp1K8H6x8fbOy06t2VsZHhMHf-1x7Y/edit?usp=sharing"",""แผน!GX80"")"),0)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IFERROR(__xludf.DUMMYFUNCTION("IMPORTRANGE(""https://docs.google.com/spreadsheets/d/1eHaY18a8A9IcSdp1K8H6x8fbOy06t2VsZHhMHf-1x7Y/edit?usp=sharing"",""แผน!GY80"")"),0)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IFERROR(__xludf.DUMMYFUNCTION("IMPORTRANGE(""https://docs.google.com/spreadsheets/d/1eHaY18a8A9IcSdp1K8H6x8fbOy06t2VsZHhMHf-1x7Y/edit?usp=sharing"",""แผน!GZ80"")"),0)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IFERROR(__xludf.DUMMYFUNCTION("IMPORTRANGE(""https://docs.google.com/spreadsheets/d/1eHaY18a8A9IcSdp1K8H6x8fbOy06t2VsZHhMHf-1x7Y/edit?usp=sharing"",""แผน!HA80"")"),0)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IFERROR(__xludf.DUMMYFUNCTION("IMPORTRANGE(""https://docs.google.com/spreadsheets/d/1eHaY18a8A9IcSdp1K8H6x8fbOy06t2VsZHhMHf-1x7Y/edit?usp=sharing"",""แผน!HB80"")"),0)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IFERROR(__xludf.DUMMYFUNCTION("IMPORTRANGE(""https://docs.google.com/spreadsheets/d/1eHaY18a8A9IcSdp1K8H6x8fbOy06t2VsZHhMHf-1x7Y/edit?usp=sharing"",""แผน!HC80"")"),0)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8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IFERROR(__xludf.DUMMYFUNCTION("IMPORTRANGE(""https://docs.google.com/spreadsheets/d/1-uDff_7J0KD5mKrp0Vvzr7lt3OU09vwQwhkpOPPYv2Y/edit?usp=sharing"",""งบพรบ!FW80"")"),0)</f>
        <v>0</v>
      </c>
      <c r="M539" s="47">
        <f ca="1">IFERROR(__xludf.DUMMYFUNCTION("IMPORTRANGE(""https://docs.google.com/spreadsheets/d/1-uDff_7J0KD5mKrp0Vvzr7lt3OU09vwQwhkpOPPYv2Y/edit?usp=sharing"",""งบพรบ!GB80"")"),0)</f>
        <v>0</v>
      </c>
      <c r="N539" s="47">
        <f ca="1">IFERROR(__xludf.DUMMYFUNCTION("IMPORTRANGE(""https://docs.google.com/spreadsheets/d/1-uDff_7J0KD5mKrp0Vvzr7lt3OU09vwQwhkpOPPYv2Y/edit?usp=sharing"",""งบพรบ!GD80"")"),0)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IFERROR(__xludf.DUMMYFUNCTION("IMPORTRANGE(""https://docs.google.com/spreadsheets/d/1-uDff_7J0KD5mKrp0Vvzr7lt3OU09vwQwhkpOPPYv2Y/edit?usp=sharing"",""งบพรบ!FZ80"")"),0)</f>
        <v>0</v>
      </c>
      <c r="M542" s="47">
        <f ca="1">IFERROR(__xludf.DUMMYFUNCTION("IMPORTRANGE(""https://docs.google.com/spreadsheets/d/1-uDff_7J0KD5mKrp0Vvzr7lt3OU09vwQwhkpOPPYv2Y/edit?usp=sharing"",""งบพรบ!GC80"")"),0)</f>
        <v>0</v>
      </c>
      <c r="N542" s="47">
        <f ca="1">IFERROR(__xludf.DUMMYFUNCTION("IMPORTRANGE(""https://docs.google.com/spreadsheets/d/1-uDff_7J0KD5mKrp0Vvzr7lt3OU09vwQwhkpOPPYv2Y/edit?usp=sharing"",""งบพรบ!GE80"")"),0)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IFERROR(__xludf.DUMMYFUNCTION("IMPORTRANGE(""https://docs.google.com/spreadsheets/d/1-uDff_7J0KD5mKrp0Vvzr7lt3OU09vwQwhkpOPPYv2Y/edit?usp=sharing"",""งบพรบ!GG80"")"),0)</f>
        <v>0</v>
      </c>
      <c r="M560" s="47">
        <f ca="1">IFERROR(__xludf.DUMMYFUNCTION("IMPORTRANGE(""https://docs.google.com/spreadsheets/d/1-uDff_7J0KD5mKrp0Vvzr7lt3OU09vwQwhkpOPPYv2Y/edit?usp=sharing"",""งบพรบ!GL80"")"),0)</f>
        <v>0</v>
      </c>
      <c r="N560" s="47">
        <f ca="1">IFERROR(__xludf.DUMMYFUNCTION("IMPORTRANGE(""https://docs.google.com/spreadsheets/d/1-uDff_7J0KD5mKrp0Vvzr7lt3OU09vwQwhkpOPPYv2Y/edit?usp=sharing"",""งบพรบ!GN80"")"),0)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IFERROR(__xludf.DUMMYFUNCTION("IMPORTRANGE(""https://docs.google.com/spreadsheets/d/1-uDff_7J0KD5mKrp0Vvzr7lt3OU09vwQwhkpOPPYv2Y/edit?usp=sharing"",""งบพรบ!GJ80"")"),0)</f>
        <v>0</v>
      </c>
      <c r="M563" s="47">
        <f ca="1">IFERROR(__xludf.DUMMYFUNCTION("IMPORTRANGE(""https://docs.google.com/spreadsheets/d/1-uDff_7J0KD5mKrp0Vvzr7lt3OU09vwQwhkpOPPYv2Y/edit?usp=sharing"",""งบพรบ!GM80"")"),0)</f>
        <v>0</v>
      </c>
      <c r="N563" s="47">
        <f ca="1">IFERROR(__xludf.DUMMYFUNCTION("IMPORTRANGE(""https://docs.google.com/spreadsheets/d/1-uDff_7J0KD5mKrp0Vvzr7lt3OU09vwQwhkpOPPYv2Y/edit?usp=sharing"",""งบพรบ!GO80"")"),0)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IFERROR(__xludf.DUMMYFUNCTION("IMPORTRANGE(""https://docs.google.com/spreadsheets/d/1-uDff_7J0KD5mKrp0Vvzr7lt3OU09vwQwhkpOPPYv2Y/edit?usp=sharing"",""งบพรบ!GQ80"")"),0)</f>
        <v>0</v>
      </c>
      <c r="M581" s="47">
        <f ca="1">IFERROR(__xludf.DUMMYFUNCTION("IMPORTRANGE(""https://docs.google.com/spreadsheets/d/1-uDff_7J0KD5mKrp0Vvzr7lt3OU09vwQwhkpOPPYv2Y/edit?usp=sharing"",""งบพรบ!GV80"")"),0)</f>
        <v>0</v>
      </c>
      <c r="N581" s="47">
        <f ca="1">IFERROR(__xludf.DUMMYFUNCTION("IMPORTRANGE(""https://docs.google.com/spreadsheets/d/1-uDff_7J0KD5mKrp0Vvzr7lt3OU09vwQwhkpOPPYv2Y/edit?usp=sharing"",""งบพรบ!GX80"")"),0)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IFERROR(__xludf.DUMMYFUNCTION("IMPORTRANGE(""https://docs.google.com/spreadsheets/d/1-uDff_7J0KD5mKrp0Vvzr7lt3OU09vwQwhkpOPPYv2Y/edit?usp=sharing"",""งบพรบ!GT80"")"),0)</f>
        <v>0</v>
      </c>
      <c r="M584" s="47">
        <f ca="1">IFERROR(__xludf.DUMMYFUNCTION("IMPORTRANGE(""https://docs.google.com/spreadsheets/d/1-uDff_7J0KD5mKrp0Vvzr7lt3OU09vwQwhkpOPPYv2Y/edit?usp=sharing"",""งบพรบ!GW80"")"),0)</f>
        <v>0</v>
      </c>
      <c r="N584" s="47">
        <f ca="1">IFERROR(__xludf.DUMMYFUNCTION("IMPORTRANGE(""https://docs.google.com/spreadsheets/d/1-uDff_7J0KD5mKrp0Vvzr7lt3OU09vwQwhkpOPPYv2Y/edit?usp=sharing"",""งบพรบ!GY80"")"),0)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IFERROR(__xludf.DUMMYFUNCTION("IMPORTRANGE(""https://docs.google.com/spreadsheets/d/1-uDff_7J0KD5mKrp0Vvzr7lt3OU09vwQwhkpOPPYv2Y/edit?usp=sharing"",""งบพรบ!HK80"")"),0)</f>
        <v>0</v>
      </c>
      <c r="M604" s="47">
        <f ca="1">IFERROR(__xludf.DUMMYFUNCTION("IMPORTRANGE(""https://docs.google.com/spreadsheets/d/1-uDff_7J0KD5mKrp0Vvzr7lt3OU09vwQwhkpOPPYv2Y/edit?usp=sharing"",""งบพรบ!HP80"")"),0)</f>
        <v>0</v>
      </c>
      <c r="N604" s="47">
        <f ca="1">IFERROR(__xludf.DUMMYFUNCTION("IMPORTRANGE(""https://docs.google.com/spreadsheets/d/1-uDff_7J0KD5mKrp0Vvzr7lt3OU09vwQwhkpOPPYv2Y/edit?usp=sharing"",""งบพรบ!HR80"")"),0)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IFERROR(__xludf.DUMMYFUNCTION("IMPORTRANGE(""https://docs.google.com/spreadsheets/d/1ItG2mGa2ceCfYo0BwxsXqNm01IGEUdYcSSLTEv9YCik/edit?usp=sharing"",""เบิกจ่ายกองทุน!AV80"")"),0)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IFERROR(__xludf.DUMMYFUNCTION("IMPORTRANGE(""https://docs.google.com/spreadsheets/d/1ItG2mGa2ceCfYo0BwxsXqNm01IGEUdYcSSLTEv9YCik/edit?usp=sharing"",""เบิกจ่ายกองทุน!AW80"")"),0)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IFERROR(__xludf.DUMMYFUNCTION("IMPORTRANGE(""https://docs.google.com/spreadsheets/d/1ItG2mGa2ceCfYo0BwxsXqNm01IGEUdYcSSLTEv9YCik/edit?usp=sharing"",""เบิกจ่ายกองทุน!AX80"")"),0)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IFERROR(__xludf.DUMMYFUNCTION("IMPORTRANGE(""https://docs.google.com/spreadsheets/d/1-uDff_7J0KD5mKrp0Vvzr7lt3OU09vwQwhkpOPPYv2Y/edit?usp=sharing"",""งบพรบ!HN80"")"),0)</f>
        <v>0</v>
      </c>
      <c r="M607" s="47">
        <f ca="1">IFERROR(__xludf.DUMMYFUNCTION("IMPORTRANGE(""https://docs.google.com/spreadsheets/d/1-uDff_7J0KD5mKrp0Vvzr7lt3OU09vwQwhkpOPPYv2Y/edit?usp=sharing"",""งบพรบ!HQ80"")"),0)</f>
        <v>0</v>
      </c>
      <c r="N607" s="47">
        <f ca="1">IFERROR(__xludf.DUMMYFUNCTION("IMPORTRANGE(""https://docs.google.com/spreadsheets/d/1-uDff_7J0KD5mKrp0Vvzr7lt3OU09vwQwhkpOPPYv2Y/edit?usp=sharing"",""งบพรบ!HS80"")"),0)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IFERROR(__xludf.DUMMYFUNCTION("IMPORTRANGE(""https://docs.google.com/spreadsheets/d/1ItG2mGa2ceCfYo0BwxsXqNm01IGEUdYcSSLTEv9YCik/edit?usp=sharing"",""เบิกจ่ายกองทุน!AY80"")"),0)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IFERROR(__xludf.DUMMYFUNCTION("IMPORTRANGE(""https://docs.google.com/spreadsheets/d/1ItG2mGa2ceCfYo0BwxsXqNm01IGEUdYcSSLTEv9YCik/edit?usp=sharing"",""เบิกจ่ายกองทุน!AZ80"")"),0)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IFERROR(__xludf.DUMMYFUNCTION("IMPORTRANGE(""https://docs.google.com/spreadsheets/d/1ItG2mGa2ceCfYo0BwxsXqNm01IGEUdYcSSLTEv9YCik/edit?usp=sharing"",""เบิกจ่ายกองทุน!BA80"")"),0)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6800</v>
      </c>
      <c r="R616" s="132">
        <f ca="1">R617+R618</f>
        <v>6800</v>
      </c>
      <c r="S616" s="132">
        <f ca="1">S617+S618</f>
        <v>4040</v>
      </c>
      <c r="T616" s="132">
        <f ca="1">IF(Q616&gt;0,S616*100/Q616,0)</f>
        <v>59.411764705882355</v>
      </c>
      <c r="U616" s="132">
        <f ca="1">IF(R616&gt;0,S616*100/R616,0)</f>
        <v>59.411764705882355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6800</v>
      </c>
      <c r="R618" s="47">
        <f ca="1">R621+R624</f>
        <v>6800</v>
      </c>
      <c r="S618" s="47">
        <f ca="1">S621+S624</f>
        <v>4040</v>
      </c>
      <c r="T618" s="47">
        <f ca="1">IF(Q618&gt;0,S618*100/Q618,0)</f>
        <v>59.411764705882355</v>
      </c>
      <c r="U618" s="47">
        <f ca="1">IF(R618&gt;0,S618*100/R618,0)</f>
        <v>59.411764705882355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6800</v>
      </c>
      <c r="R619" s="47">
        <f ca="1">R620+R621</f>
        <v>6800</v>
      </c>
      <c r="S619" s="47">
        <f ca="1">S620+S621</f>
        <v>4040</v>
      </c>
      <c r="T619" s="47">
        <f ca="1">IF(Q619&gt;0,S619*100/Q619,0)</f>
        <v>59.411764705882355</v>
      </c>
      <c r="U619" s="47">
        <f ca="1">IF(R619&gt;0,S619*100/R619,0)</f>
        <v>59.411764705882355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IFERROR(__xludf.DUMMYFUNCTION("IMPORTRANGE(""https://docs.google.com/spreadsheets/d/1ItG2mGa2ceCfYo0BwxsXqNm01IGEUdYcSSLTEv9YCik/edit?usp=sharing"",""เบิกจ่ายกองทุน!H80"")"),4040)</f>
        <v>4040</v>
      </c>
      <c r="T621" s="47">
        <f ca="1">IF(Q621&gt;0,S621*100/Q621,0)</f>
        <v>59.411764705882355</v>
      </c>
      <c r="U621" s="47">
        <f ca="1">IF(R621&gt;0,S621*100/R621,0)</f>
        <v>59.411764705882355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IFERROR(__xludf.DUMMYFUNCTION("IMPORTRANGE(""https://docs.google.com/spreadsheets/d/1eHaY18a8A9IcSdp1K8H6x8fbOy06t2VsZHhMHf-1x7Y/edit?usp=sharing"",""แผน!ID80"")"),50)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IFERROR(__xludf.DUMMYFUNCTION("IMPORTRANGE(""https://docs.google.com/spreadsheets/d/1eHaY18a8A9IcSdp1K8H6x8fbOy06t2VsZHhMHf-1x7Y/edit?usp=sharing"",""แผน!IC80"")"),0)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IFERROR(__xludf.DUMMYFUNCTION("IMPORTRANGE(""https://docs.google.com/spreadsheets/d/1eHaY18a8A9IcSdp1K8H6x8fbOy06t2VsZHhMHf-1x7Y/edit?usp=sharing"",""แผน!IE80"")"),0)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386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8200</v>
      </c>
      <c r="R644" s="47">
        <f ca="1">R647+R650</f>
        <v>8200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386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IFERROR(__xludf.DUMMYFUNCTION("IMPORTRANGE(""https://docs.google.com/spreadsheets/d/1eHaY18a8A9IcSdp1K8H6x8fbOy06t2VsZHhMHf-1x7Y/edit?usp=sharing"",""แผน!IF80"")"),0)</f>
        <v>0</v>
      </c>
      <c r="J652" s="15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IFERROR(__xludf.DUMMYFUNCTION("IMPORTRANGE(""https://docs.google.com/spreadsheets/d/1eHaY18a8A9IcSdp1K8H6x8fbOy06t2VsZHhMHf-1x7Y/edit?usp=sharing"",""แผน!IG80"")"),60)</f>
        <v>60</v>
      </c>
      <c r="J653" s="15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IFERROR(__xludf.DUMMYFUNCTION("IMPORTRANGE(""https://docs.google.com/spreadsheets/d/1eHaY18a8A9IcSdp1K8H6x8fbOy06t2VsZHhMHf-1x7Y/edit?usp=sharing"",""แผน!IH80"")"),0)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IFERROR(__xludf.DUMMYFUNCTION("IMPORTRANGE(""https://docs.google.com/spreadsheets/d/1eHaY18a8A9IcSdp1K8H6x8fbOy06t2VsZHhMHf-1x7Y/edit?usp=sharing"",""แผน!II80"")"),0)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IFERROR(__xludf.DUMMYFUNCTION("IMPORTRANGE(""https://docs.google.com/spreadsheets/d/1eHaY18a8A9IcSdp1K8H6x8fbOy06t2VsZHhMHf-1x7Y/edit?usp=sharing"",""แผน!IJ80"")"),0)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IFERROR(__xludf.DUMMYFUNCTION("IMPORTRANGE(""https://docs.google.com/spreadsheets/d/1eHaY18a8A9IcSdp1K8H6x8fbOy06t2VsZHhMHf-1x7Y/edit?usp=sharing"",""แผน!IK80"")"),0)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IFERROR(__xludf.DUMMYFUNCTION("IMPORTRANGE(""https://docs.google.com/spreadsheets/d/1eHaY18a8A9IcSdp1K8H6x8fbOy06t2VsZHhMHf-1x7Y/edit?usp=sharing"",""แผน!IL80"")"),0)</f>
        <v>0</v>
      </c>
      <c r="J673" s="15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IFERROR(__xludf.DUMMYFUNCTION("IMPORTRANGE(""https://docs.google.com/spreadsheets/d/1eHaY18a8A9IcSdp1K8H6x8fbOy06t2VsZHhMHf-1x7Y/edit?usp=sharing"",""แผน!IM80"")"),0)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IFERROR(__xludf.DUMMYFUNCTION("IMPORTRANGE(""https://docs.google.com/spreadsheets/d/1eHaY18a8A9IcSdp1K8H6x8fbOy06t2VsZHhMHf-1x7Y/edit?usp=sharing"",""แผน!IN80"")"),0)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IFERROR(__xludf.DUMMYFUNCTION("IMPORTRANGE(""https://docs.google.com/spreadsheets/d/1eHaY18a8A9IcSdp1K8H6x8fbOy06t2VsZHhMHf-1x7Y/edit?usp=sharing"",""แผน!IO80"")"),0)</f>
        <v>0</v>
      </c>
      <c r="J676" s="15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IFERROR(__xludf.DUMMYFUNCTION("IMPORTRANGE(""https://docs.google.com/spreadsheets/d/1eHaY18a8A9IcSdp1K8H6x8fbOy06t2VsZHhMHf-1x7Y/edit?usp=sharing"",""แผน!IP80"")"),0)</f>
        <v>0</v>
      </c>
      <c r="J678" s="15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IFERROR(__xludf.DUMMYFUNCTION("IMPORTRANGE(""https://docs.google.com/spreadsheets/d/1eHaY18a8A9IcSdp1K8H6x8fbOy06t2VsZHhMHf-1x7Y/edit?usp=sharing"",""แผน!IQ80"")"),0)</f>
        <v>0</v>
      </c>
      <c r="J679" s="15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IFERROR(__xludf.DUMMYFUNCTION("IMPORTRANGE(""https://docs.google.com/spreadsheets/d/1eHaY18a8A9IcSdp1K8H6x8fbOy06t2VsZHhMHf-1x7Y/edit?usp=sharing"",""แผน!IR80"")"),0)</f>
        <v>0</v>
      </c>
      <c r="J681" s="15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IFERROR(__xludf.DUMMYFUNCTION("IMPORTRANGE(""https://docs.google.com/spreadsheets/d/1eHaY18a8A9IcSdp1K8H6x8fbOy06t2VsZHhMHf-1x7Y/edit?usp=sharing"",""แผน!IS80"")"),0)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IFERROR(__xludf.DUMMYFUNCTION("IMPORTRANGE(""https://docs.google.com/spreadsheets/d/1eHaY18a8A9IcSdp1K8H6x8fbOy06t2VsZHhMHf-1x7Y/edit?usp=sharing"",""แผน!LC80"")"),0)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IFERROR(__xludf.DUMMYFUNCTION("IMPORTRANGE(""https://docs.google.com/spreadsheets/d/1eHaY18a8A9IcSdp1K8H6x8fbOy06t2VsZHhMHf-1x7Y/edit?usp=sharing"",""แผน!LJ80"")"),0)</f>
        <v>0</v>
      </c>
      <c r="J703" s="15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IFERROR(__xludf.DUMMYFUNCTION("IMPORTRANGE(""https://docs.google.com/spreadsheets/d/1eHaY18a8A9IcSdp1K8H6x8fbOy06t2VsZHhMHf-1x7Y/edit?usp=sharing"",""แผน!LK80"")"),0)</f>
        <v>0</v>
      </c>
      <c r="J705" s="152">
        <f ca="1">IFERROR(__xludf.DUMMYFUNCTION("IMPORTRANGE(""https://docs.google.com/spreadsheets/d/1tdoBKaGub7dwA3U6UFTqxio9LNnvDCQjHKmttSEBsFQ/edit?usp=sharing"",""จัดที่ดิน!AR80"")"),0)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IFERROR(__xludf.DUMMYFUNCTION("IMPORTRANGE(""https://docs.google.com/spreadsheets/d/1eHaY18a8A9IcSdp1K8H6x8fbOy06t2VsZHhMHf-1x7Y/edit?usp=sharing"",""แผน!LJ80"")"),0)</f>
        <v>0</v>
      </c>
      <c r="J707" s="15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IFERROR(__xludf.DUMMYFUNCTION("IMPORTRANGE(""https://docs.google.com/spreadsheets/d/1eHaY18a8A9IcSdp1K8H6x8fbOy06t2VsZHhMHf-1x7Y/edit?usp=sharing"",""แผน!LK80"")"),0)</f>
        <v>0</v>
      </c>
      <c r="J709" s="15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IFERROR(__xludf.DUMMYFUNCTION("IMPORTRANGE(""https://docs.google.com/spreadsheets/d/1eHaY18a8A9IcSdp1K8H6x8fbOy06t2VsZHhMHf-1x7Y/edit?usp=sharing"",""แผน!GA80"")"),6)</f>
        <v>6</v>
      </c>
      <c r="J726" s="483">
        <f>J742+J746+J749</f>
        <v>7</v>
      </c>
      <c r="K726" s="484">
        <f ca="1">IF(I726&gt;0,J726*100/I726,0)</f>
        <v>116.66666666666667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IFERROR(__xludf.DUMMYFUNCTION("IMPORTRANGE(""https://docs.google.com/spreadsheets/d/1eHaY18a8A9IcSdp1K8H6x8fbOy06t2VsZHhMHf-1x7Y/edit?usp=sharing"",""แผน!FZ80"")"),50)</f>
        <v>50</v>
      </c>
      <c r="J727" s="483">
        <f>J752+J755</f>
        <v>50</v>
      </c>
      <c r="K727" s="484">
        <f ca="1">IF(I727&gt;0,J727*100/I727,0)</f>
        <v>100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31026</v>
      </c>
      <c r="T728" s="132">
        <f ca="1">IF(Q728&gt;0,S728*100/Q728,0)</f>
        <v>38.974449162123456</v>
      </c>
      <c r="U728" s="132">
        <f ca="1">IF(R728&gt;0,S728*100/R728,0)</f>
        <v>38.974449162123456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31026</v>
      </c>
      <c r="T730" s="47">
        <f ca="1">IF(Q730&gt;0,S730*100/Q730,0)</f>
        <v>38.974449162123456</v>
      </c>
      <c r="U730" s="47">
        <f ca="1">IF(R730&gt;0,S730*100/R730,0)</f>
        <v>38.974449162123456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31026</v>
      </c>
      <c r="T731" s="47">
        <f ca="1">IF(Q731&gt;0,S731*100/Q731,0)</f>
        <v>38.974449162123456</v>
      </c>
      <c r="U731" s="47">
        <f ca="1">IF(R731&gt;0,S731*100/R731,0)</f>
        <v>38.974449162123456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IFERROR(__xludf.DUMMYFUNCTION("IMPORTRANGE(""https://docs.google.com/spreadsheets/d/1ItG2mGa2ceCfYo0BwxsXqNm01IGEUdYcSSLTEv9YCik/edit?usp=sharing"",""เบิกจ่ายกองทุน!Q80"")"),31026)</f>
        <v>31026</v>
      </c>
      <c r="T733" s="47">
        <f ca="1">IF(Q733&gt;0,S733*100/Q733,0)</f>
        <v>38.974449162123456</v>
      </c>
      <c r="U733" s="47">
        <f ca="1">IF(R733&gt;0,S733*100/R733,0)</f>
        <v>38.974449162123456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IFERROR(__xludf.DUMMYFUNCTION("IMPORTRANGE(""https://docs.google.com/spreadsheets/d/1eHaY18a8A9IcSdp1K8H6x8fbOy06t2VsZHhMHf-1x7Y/edit?usp=sharing"",""แผน!GB80"")"),40)</f>
        <v>40</v>
      </c>
      <c r="J740" s="554">
        <v>40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5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IFERROR(__xludf.DUMMYFUNCTION("IMPORTRANGE(""https://docs.google.com/spreadsheets/d/1eHaY18a8A9IcSdp1K8H6x8fbOy06t2VsZHhMHf-1x7Y/edit?usp=sharing"",""แผน!GC80"")"),4)</f>
        <v>4</v>
      </c>
      <c r="J742" s="554">
        <v>5</v>
      </c>
      <c r="K742" s="331">
        <f ca="1">IF(I742&gt;0,J742*100/I742,0)</f>
        <v>125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IFERROR(__xludf.DUMMYFUNCTION("IMPORTRANGE(""https://docs.google.com/spreadsheets/d/1eHaY18a8A9IcSdp1K8H6x8fbOy06t2VsZHhMHf-1x7Y/edit?usp=sharing"",""แผน!GD80"")"),10)</f>
        <v>10</v>
      </c>
      <c r="J744" s="554">
        <v>10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1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IFERROR(__xludf.DUMMYFUNCTION("IMPORTRANGE(""https://docs.google.com/spreadsheets/d/1eHaY18a8A9IcSdp1K8H6x8fbOy06t2VsZHhMHf-1x7Y/edit?usp=sharing"",""แผน!GE80"")"),1)</f>
        <v>1</v>
      </c>
      <c r="J746" s="554">
        <v>1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1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IFERROR(__xludf.DUMMYFUNCTION("IMPORTRANGE(""https://docs.google.com/spreadsheets/d/1eHaY18a8A9IcSdp1K8H6x8fbOy06t2VsZHhMHf-1x7Y/edit?usp=sharing"",""แผน!GF80"")"),1)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IFERROR(__xludf.DUMMYFUNCTION("IMPORTRANGE(""https://docs.google.com/spreadsheets/d/1eHaY18a8A9IcSdp1K8H6x8fbOy06t2VsZHhMHf-1x7Y/edit?usp=sharing"",""แผน!GB80"")"),40)</f>
        <v>40</v>
      </c>
      <c r="J752" s="554">
        <v>40</v>
      </c>
      <c r="K752" s="331">
        <f ca="1">IF(I752&gt;0,J752*100/I752,0)</f>
        <v>100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40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IFERROR(__xludf.DUMMYFUNCTION("IMPORTRANGE(""https://docs.google.com/spreadsheets/d/1eHaY18a8A9IcSdp1K8H6x8fbOy06t2VsZHhMHf-1x7Y/edit?usp=sharing"",""แผน!GD80"")"),10)</f>
        <v>10</v>
      </c>
      <c r="J755" s="554">
        <v>10</v>
      </c>
      <c r="K755" s="331">
        <f ca="1">IF(I755&gt;0,J755*100/I755,0)</f>
        <v>100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10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1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10</v>
      </c>
      <c r="J758" s="483">
        <f>J772</f>
        <v>10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91360</v>
      </c>
      <c r="R760" s="132">
        <f ca="1">R761+R762</f>
        <v>91360</v>
      </c>
      <c r="S760" s="132">
        <f ca="1">S761+S762</f>
        <v>81420</v>
      </c>
      <c r="T760" s="132">
        <f ca="1">IF(Q760&gt;0,S760*100/Q760,0)</f>
        <v>89.119964973730305</v>
      </c>
      <c r="U760" s="132">
        <f ca="1">IF(R760&gt;0,S760*100/R760,0)</f>
        <v>89.119964973730305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91360</v>
      </c>
      <c r="R762" s="47">
        <f ca="1">R765+R768</f>
        <v>91360</v>
      </c>
      <c r="S762" s="47">
        <f ca="1">S765+S768</f>
        <v>81420</v>
      </c>
      <c r="T762" s="47">
        <f ca="1">IF(Q762&gt;0,S762*100/Q762,0)</f>
        <v>89.119964973730305</v>
      </c>
      <c r="U762" s="47">
        <f ca="1">IF(R762&gt;0,S762*100/R762,0)</f>
        <v>89.119964973730305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91360</v>
      </c>
      <c r="R763" s="47">
        <f ca="1">R764+R765</f>
        <v>91360</v>
      </c>
      <c r="S763" s="47">
        <f ca="1">S764+S765</f>
        <v>81420</v>
      </c>
      <c r="T763" s="47">
        <f ca="1">IF(Q763&gt;0,S763*100/Q763,0)</f>
        <v>89.119964973730305</v>
      </c>
      <c r="U763" s="47">
        <f ca="1">IF(R763&gt;0,S763*100/R763,0)</f>
        <v>89.119964973730305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IFERROR(__xludf.DUMMYFUNCTION("IMPORTRANGE(""https://docs.google.com/spreadsheets/d/1ItG2mGa2ceCfYo0BwxsXqNm01IGEUdYcSSLTEv9YCik/edit?usp=sharing"",""เบิกจ่ายกองทุน!AB80"")"),91360)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IFERROR(__xludf.DUMMYFUNCTION("IMPORTRANGE(""https://docs.google.com/spreadsheets/d/1ItG2mGa2ceCfYo0BwxsXqNm01IGEUdYcSSLTEv9YCik/edit?usp=sharing"",""เบิกจ่ายกองทุน!AC80"")"),81420)</f>
        <v>81420</v>
      </c>
      <c r="T765" s="47">
        <f ca="1">IF(Q765&gt;0,S765*100/Q765,0)</f>
        <v>89.119964973730305</v>
      </c>
      <c r="U765" s="47">
        <f ca="1">IF(R765&gt;0,S765*100/R765,0)</f>
        <v>89.119964973730305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IFERROR(__xludf.DUMMYFUNCTION("IMPORTRANGE(""https://docs.google.com/spreadsheets/d/1eHaY18a8A9IcSdp1K8H6x8fbOy06t2VsZHhMHf-1x7Y/edit?usp=sharing"",""แผน!FI80"")"),1)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10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IFERROR(__xludf.DUMMYFUNCTION("IMPORTRANGE(""https://docs.google.com/spreadsheets/d/1eHaY18a8A9IcSdp1K8H6x8fbOy06t2VsZHhMHf-1x7Y/edit?usp=sharing"",""แผน!FT80"")"),10)</f>
        <v>10</v>
      </c>
      <c r="J776" s="355">
        <v>10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152">
        <f ca="1">IFERROR(__xludf.DUMMYFUNCTION("IMPORTRANGE(""https://docs.google.com/spreadsheets/d/10OvvATaaLtwErnr3qtWFcTmtbfpFEt5Bsqel9sXx0uE/edit?usp=sharing"",""งานกองทุน!F80"")"),114676.53)</f>
        <v>114676.53</v>
      </c>
      <c r="K778" s="47">
        <f ca="1">IF(I778&gt;0,J778*100/I778,0)</f>
        <v>23.574858432987988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IFERROR(__xludf.DUMMYFUNCTION("IMPORTRANGE(""https://docs.google.com/spreadsheets/d/10OvvATaaLtwErnr3qtWFcTmtbfpFEt5Bsqel9sXx0uE/edit?usp=sharing"",""งานกองทุน!C80"")"),35)</f>
        <v>35</v>
      </c>
      <c r="J779" s="152">
        <f ca="1">IFERROR(__xludf.DUMMYFUNCTION("IMPORTRANGE(""https://docs.google.com/spreadsheets/d/10OvvATaaLtwErnr3qtWFcTmtbfpFEt5Bsqel9sXx0uE/edit?usp=sharing"",""งานกองทุน!E80"")"),17)</f>
        <v>17</v>
      </c>
      <c r="K779" s="47">
        <f ca="1">IF(I779&gt;0,J779*100/I779,0)</f>
        <v>48.571428571428569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152">
        <f ca="1">IFERROR(__xludf.DUMMYFUNCTION("IMPORTRANGE(""https://docs.google.com/spreadsheets/d/10OvvATaaLtwErnr3qtWFcTmtbfpFEt5Bsqel9sXx0uE/edit?usp=sharing"",""งานกองทุน!K80"")"),64208.94)</f>
        <v>64208.94</v>
      </c>
      <c r="K780" s="47">
        <f ca="1">IF(I780&gt;0,J780*100/I780,0)</f>
        <v>3.5713573369811433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IFERROR(__xludf.DUMMYFUNCTION("IMPORTRANGE(""https://docs.google.com/spreadsheets/d/10OvvATaaLtwErnr3qtWFcTmtbfpFEt5Bsqel9sXx0uE/edit?usp=sharing"",""งานกองทุน!H80"")"),124)</f>
        <v>124</v>
      </c>
      <c r="J781" s="15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ca="1">IF(I781&gt;0,J781*100/I781,0)</f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2" s="152">
        <f ca="1">IFERROR(__xludf.DUMMYFUNCTION("IMPORTRANGE(""https://docs.google.com/spreadsheets/d/10OvvATaaLtwErnr3qtWFcTmtbfpFEt5Bsqel9sXx0uE/edit?usp=sharing"",""งานกองทุน!P80"")"),9320.58)</f>
        <v>9320.58</v>
      </c>
      <c r="K782" s="47">
        <f ca="1">IF(I782&gt;0,J782*100/I782,0)</f>
        <v>31.910691230892006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IFERROR(__xludf.DUMMYFUNCTION("IMPORTRANGE(""https://docs.google.com/spreadsheets/d/10OvvATaaLtwErnr3qtWFcTmtbfpFEt5Bsqel9sXx0uE/edit?usp=sharing"",""งานกองทุน!M80"")"),87)</f>
        <v>87</v>
      </c>
      <c r="J783" s="152">
        <f ca="1">IFERROR(__xludf.DUMMYFUNCTION("IMPORTRANGE(""https://docs.google.com/spreadsheets/d/10OvvATaaLtwErnr3qtWFcTmtbfpFEt5Bsqel9sXx0uE/edit?usp=sharing"",""งานกองทุน!O80"")"),7)</f>
        <v>7</v>
      </c>
      <c r="K783" s="47">
        <f ca="1">IF(I783&gt;0,J783*100/I783,0)</f>
        <v>8.0459770114942533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IFERROR(__xludf.DUMMYFUNCTION("IMPORTRANGE(""https://docs.google.com/spreadsheets/d/10OvvATaaLtwErnr3qtWFcTmtbfpFEt5Bsqel9sXx0uE/edit?usp=sharing"",""งานกองทุน!S80"")"),448000)</f>
        <v>448000</v>
      </c>
      <c r="J784" s="15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ca="1">IF(I784&gt;0,J784*100/I784,0)</f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IFERROR(__xludf.DUMMYFUNCTION("IMPORTRANGE(""https://docs.google.com/spreadsheets/d/10OvvATaaLtwErnr3qtWFcTmtbfpFEt5Bsqel9sXx0uE/edit?usp=sharing"",""งานกองทุน!R80"")"),16)</f>
        <v>16</v>
      </c>
      <c r="J785" s="197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ca="1">IF(I785&gt;0,J785*100/I785,0)</f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90610-C90E-4604-9C0A-7C9F75439782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5374620</v>
      </c>
      <c r="M18" s="35">
        <f ca="1">M19+M20</f>
        <v>5468830</v>
      </c>
      <c r="N18" s="35">
        <f ca="1">N19+N20</f>
        <v>1634513.8699999999</v>
      </c>
      <c r="O18" s="35">
        <f ca="1">IF(L18&gt;0,N18*100/L18,0)</f>
        <v>30.411710409294052</v>
      </c>
      <c r="P18" s="35">
        <f ca="1">IF(M18&gt;0,N18*100/M18,0)</f>
        <v>29.887816406799992</v>
      </c>
      <c r="Q18" s="35">
        <f ca="1">Q19+Q20</f>
        <v>957372.22</v>
      </c>
      <c r="R18" s="35">
        <f ca="1">R19+R20</f>
        <v>949184.5</v>
      </c>
      <c r="S18" s="35">
        <f ca="1">S19+S20</f>
        <v>310399</v>
      </c>
      <c r="T18" s="35">
        <f ca="1">IF(Q18&gt;0,S18*100/Q18,0)</f>
        <v>32.421976898389637</v>
      </c>
      <c r="U18" s="35">
        <f ca="1">IF(R18&gt;0,S18*100/R18,0)</f>
        <v>32.70165073281327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5374620</v>
      </c>
      <c r="M20" s="39">
        <f ca="1">M23+M26</f>
        <v>5468830</v>
      </c>
      <c r="N20" s="39">
        <f ca="1">N23+N26</f>
        <v>1634513.8699999999</v>
      </c>
      <c r="O20" s="39">
        <f ca="1">IF(L20&gt;0,N20*100/L20,0)</f>
        <v>30.411710409294052</v>
      </c>
      <c r="P20" s="39">
        <f ca="1">IF(M20&gt;0,N20*100/M20,0)</f>
        <v>29.887816406799992</v>
      </c>
      <c r="Q20" s="39">
        <f ca="1">Q23+Q26</f>
        <v>957372.22</v>
      </c>
      <c r="R20" s="39">
        <f ca="1">R23+R26</f>
        <v>949184.5</v>
      </c>
      <c r="S20" s="39">
        <f ca="1">S23+S26</f>
        <v>310399</v>
      </c>
      <c r="T20" s="39">
        <f ca="1">IF(Q20&gt;0,S20*100/Q20,0)</f>
        <v>32.421976898389637</v>
      </c>
      <c r="U20" s="39">
        <f ca="1">IF(R20&gt;0,S20*100/R20,0)</f>
        <v>32.70165073281327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2174620</v>
      </c>
      <c r="M21" s="47">
        <f ca="1">M22+M23</f>
        <v>2268830</v>
      </c>
      <c r="N21" s="47">
        <f ca="1">N22+N23</f>
        <v>1634513.8699999999</v>
      </c>
      <c r="O21" s="47">
        <f ca="1">IF(L21&gt;0,N21*100/L21,0)</f>
        <v>75.163194949002587</v>
      </c>
      <c r="P21" s="47">
        <f ca="1">IF(M21&gt;0,N21*100/M21,0)</f>
        <v>72.042148155657316</v>
      </c>
      <c r="Q21" s="47">
        <f ca="1">Q22+Q23</f>
        <v>957372.22</v>
      </c>
      <c r="R21" s="47">
        <f ca="1">R22+R23</f>
        <v>949184.5</v>
      </c>
      <c r="S21" s="47">
        <f ca="1">S22+S23</f>
        <v>310399</v>
      </c>
      <c r="T21" s="47">
        <f ca="1">IF(Q21&gt;0,S21*100/Q21,0)</f>
        <v>32.421976898389637</v>
      </c>
      <c r="U21" s="47">
        <f ca="1">IF(R21&gt;0,S21*100/R21,0)</f>
        <v>32.70165073281327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2174620</v>
      </c>
      <c r="M23" s="47">
        <f ca="1">M49+M64+M77+M99+M122+M144+M162+M191+M178+M271+M287+M308+M325+M338+M361+M380+M418+M498+M518+M539+M560+M581+M604+M621+M647+M695+M719+M733+M765</f>
        <v>2268830</v>
      </c>
      <c r="N23" s="47">
        <f ca="1">N49+N64+N77+N99+N122+N144+N162+N191+N178+N271+N287+N308+N325+N338+N361+N380+N418+N498+N518+N539+N560+N581+N604+N621+N647+N695+N719+N733+N765</f>
        <v>1634513.8699999999</v>
      </c>
      <c r="O23" s="47">
        <f ca="1">IF(L23&gt;0,N23*100/L23,0)</f>
        <v>75.163194949002587</v>
      </c>
      <c r="P23" s="47">
        <f ca="1">IF(M23&gt;0,N23*100/M23,0)</f>
        <v>72.042148155657316</v>
      </c>
      <c r="Q23" s="47">
        <f ca="1">Q77+Q99+Q122+Q144+Q162+Q178+Q191+Q271+Q287+Q308+Q338+Q380+Q397+Q418+Q498+Q604+Q621+Q647+Q695+Q719+Q733+Q765</f>
        <v>957372.22</v>
      </c>
      <c r="R23" s="47">
        <f ca="1">R77+R99+R122+R144+R162+R178+R191+R271+R287+R308+R338+R380+R397+R418+R498+R604+R621+R647+R695+R719+R733+R765</f>
        <v>949184.5</v>
      </c>
      <c r="S23" s="47">
        <f ca="1">S77+S99+S122+S144+S162+S178+S191+S271+S287+S308+S338+S380+S397+S418+S498+S604+S621+S647+S695+S719+S733+S765</f>
        <v>310399</v>
      </c>
      <c r="T23" s="47">
        <f ca="1">IF(Q23&gt;0,S23*100/Q23,0)</f>
        <v>32.421976898389637</v>
      </c>
      <c r="U23" s="47">
        <f ca="1">IF(R23&gt;0,S23*100/R23,0)</f>
        <v>32.70165073281327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3200000</v>
      </c>
      <c r="M24" s="47">
        <f ca="1">M25+M26</f>
        <v>3200000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3200000</v>
      </c>
      <c r="M26" s="47">
        <f ca="1">M52+M67+M80+M102+M125+M147+M165+M194+M181+M274+M290+M311+M328+M341+M364+M383+M421+M501+M521+M542+M563+M584+M607+M624+M650+M698+M722+M736+M768</f>
        <v>3200000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5307970</v>
      </c>
      <c r="M40" s="803">
        <f ca="1">M44+M59+M72+M94+M125+M139+M157+M173+M186+M266+M282+M303+M320+M333+M356</f>
        <v>5402180</v>
      </c>
      <c r="N40" s="803">
        <f ca="1">N44+N59+N72+N94+N125+N139+N157+N173+N186+N266+N282+N303+N320+N333+N356</f>
        <v>1634513.8699999999</v>
      </c>
      <c r="O40" s="803">
        <f ca="1">IF(L40&gt;0,N40*100/L40,0)</f>
        <v>30.793577770786197</v>
      </c>
      <c r="P40" s="803">
        <f ca="1">IF(M40&gt;0,N40*100/M40,0)</f>
        <v>30.256560684760597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207420</v>
      </c>
      <c r="M44" s="79">
        <f ca="1">M45+M46</f>
        <v>216640</v>
      </c>
      <c r="N44" s="79">
        <f ca="1">N45+N46</f>
        <v>204682.58</v>
      </c>
      <c r="O44" s="79">
        <f ca="1">IF(L44&gt;0,N44*100/L44,0)</f>
        <v>98.680252627519039</v>
      </c>
      <c r="P44" s="79">
        <f ca="1">IF(M44&gt;0,N44*100/M44,0)</f>
        <v>94.480511447562776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207420</v>
      </c>
      <c r="M46" s="83">
        <f ca="1">M49+M52</f>
        <v>216640</v>
      </c>
      <c r="N46" s="83">
        <f ca="1">N49+N52</f>
        <v>204682.58</v>
      </c>
      <c r="O46" s="83">
        <f ca="1">IF(L46&gt;0,N46*100/L46,0)</f>
        <v>98.680252627519039</v>
      </c>
      <c r="P46" s="83">
        <f ca="1">IF(M46&gt;0,N46*100/M46,0)</f>
        <v>94.480511447562776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207420</v>
      </c>
      <c r="M47" s="47">
        <f ca="1">M48+M49</f>
        <v>216640</v>
      </c>
      <c r="N47" s="47">
        <f ca="1">N48+N49</f>
        <v>204682.58</v>
      </c>
      <c r="O47" s="47">
        <f ca="1">IF(L47&gt;0,N47*100/L47,0)</f>
        <v>98.680252627519039</v>
      </c>
      <c r="P47" s="47">
        <f ca="1">IF(M47&gt;0,N47*100/M47,0)</f>
        <v>94.480511447562776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IFERROR(__xludf.DUMMYFUNCTION("IMPORTRANGE(""https://docs.google.com/spreadsheets/d/1-uDff_7J0KD5mKrp0Vvzr7lt3OU09vwQwhkpOPPYv2Y/edit?usp=sharing"",""งบพรบ!P81"")"),207420)</f>
        <v>207420</v>
      </c>
      <c r="M49" s="47">
        <f ca="1">IFERROR(__xludf.DUMMYFUNCTION("IMPORTRANGE(""https://docs.google.com/spreadsheets/d/1-uDff_7J0KD5mKrp0Vvzr7lt3OU09vwQwhkpOPPYv2Y/edit?usp=sharing"",""งบพรบ!V81"")"),216640)</f>
        <v>216640</v>
      </c>
      <c r="N49" s="47">
        <f ca="1">IFERROR(__xludf.DUMMYFUNCTION("IMPORTRANGE(""https://docs.google.com/spreadsheets/d/1-uDff_7J0KD5mKrp0Vvzr7lt3OU09vwQwhkpOPPYv2Y/edit?usp=sharing"",""งบพรบ!Y81"")"),204682.58)</f>
        <v>204682.58</v>
      </c>
      <c r="O49" s="47">
        <f ca="1">IF(L49&gt;0,N49*100/L49,0)</f>
        <v>98.680252627519039</v>
      </c>
      <c r="P49" s="47">
        <f ca="1">IF(M49&gt;0,N49*100/M49,0)</f>
        <v>94.480511447562776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4127800</v>
      </c>
      <c r="M59" s="106">
        <f ca="1">M60+M61</f>
        <v>4127800</v>
      </c>
      <c r="N59" s="106">
        <f ca="1">N60+N61</f>
        <v>868175.97</v>
      </c>
      <c r="O59" s="106">
        <f ca="1">IF(L59&gt;0,N59*100/L59,0)</f>
        <v>21.032413634381509</v>
      </c>
      <c r="P59" s="106">
        <f ca="1">IF(M59&gt;0,N59*100/M59,0)</f>
        <v>21.032413634381509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4127800</v>
      </c>
      <c r="M61" s="109">
        <f ca="1">M64+M67</f>
        <v>4127800</v>
      </c>
      <c r="N61" s="109">
        <f ca="1">N64+N67</f>
        <v>868175.97</v>
      </c>
      <c r="O61" s="109">
        <f ca="1">IF(L61&gt;0,N61*100/L61,0)</f>
        <v>21.032413634381509</v>
      </c>
      <c r="P61" s="109">
        <f ca="1">IF(M61&gt;0,N61*100/M61,0)</f>
        <v>21.032413634381509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927800</v>
      </c>
      <c r="M62" s="47">
        <f ca="1">M63+M64</f>
        <v>927800</v>
      </c>
      <c r="N62" s="47">
        <f ca="1">N63+N64</f>
        <v>868175.97</v>
      </c>
      <c r="O62" s="47">
        <f ca="1">IF(L62&gt;0,N62*100/L62,0)</f>
        <v>93.573611769777969</v>
      </c>
      <c r="P62" s="47">
        <f ca="1">IF(M62&gt;0,N62*100/M62,0)</f>
        <v>93.573611769777969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IFERROR(__xludf.DUMMYFUNCTION("IMPORTRANGE(""https://docs.google.com/spreadsheets/d/1-uDff_7J0KD5mKrp0Vvzr7lt3OU09vwQwhkpOPPYv2Y/edit?usp=sharing"",""งบพรบ!AC81"")"),927800)</f>
        <v>927800</v>
      </c>
      <c r="M64" s="47">
        <f ca="1">IFERROR(__xludf.DUMMYFUNCTION("IMPORTRANGE(""https://docs.google.com/spreadsheets/d/1-uDff_7J0KD5mKrp0Vvzr7lt3OU09vwQwhkpOPPYv2Y/edit?usp=sharing"",""งบพรบ!AH81"")"),927800)</f>
        <v>927800</v>
      </c>
      <c r="N64" s="47">
        <f ca="1">IFERROR(__xludf.DUMMYFUNCTION("IMPORTRANGE(""https://docs.google.com/spreadsheets/d/1-uDff_7J0KD5mKrp0Vvzr7lt3OU09vwQwhkpOPPYv2Y/edit?usp=sharing"",""งบพรบ!AJ81"")"),868175.97)</f>
        <v>868175.97</v>
      </c>
      <c r="O64" s="47">
        <f ca="1">IF(L64&gt;0,N64*100/L64,0)</f>
        <v>93.573611769777969</v>
      </c>
      <c r="P64" s="47">
        <f ca="1">IF(M64&gt;0,N64*100/M64,0)</f>
        <v>93.573611769777969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3200000</v>
      </c>
      <c r="M65" s="47">
        <f ca="1">M66+M67</f>
        <v>3200000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IFERROR(__xludf.DUMMYFUNCTION("IMPORTRANGE(""https://docs.google.com/spreadsheets/d/1-uDff_7J0KD5mKrp0Vvzr7lt3OU09vwQwhkpOPPYv2Y/edit?usp=sharing"",""งบพรบ!AF81"")"),3200000)</f>
        <v>3200000</v>
      </c>
      <c r="M67" s="111">
        <f ca="1">IFERROR(__xludf.DUMMYFUNCTION("IMPORTRANGE(""https://docs.google.com/spreadsheets/d/1-uDff_7J0KD5mKrp0Vvzr7lt3OU09vwQwhkpOPPYv2Y/edit?usp=sharing"",""งบพรบ!AI81"")"),3200000)</f>
        <v>3200000</v>
      </c>
      <c r="N67" s="111">
        <f ca="1">IFERROR(__xludf.DUMMYFUNCTION("IMPORTRANGE(""https://docs.google.com/spreadsheets/d/1-uDff_7J0KD5mKrp0Vvzr7lt3OU09vwQwhkpOPPYv2Y/edit?usp=sharing"",""งบพรบ!AK81"")"),0)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IFERROR(__xludf.DUMMYFUNCTION("IMPORTRANGE(""https://docs.google.com/spreadsheets/d/1ItG2mGa2ceCfYo0BwxsXqNm01IGEUdYcSSLTEv9YCik/edit?usp=sharing"",""เบิกจ่ายกองทุน!BH81"")"),0)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IFERROR(__xludf.DUMMYFUNCTION("IMPORTRANGE(""https://docs.google.com/spreadsheets/d/1ItG2mGa2ceCfYo0BwxsXqNm01IGEUdYcSSLTEv9YCik/edit?usp=sharing"",""เบิกจ่ายกองทุน!BI81"")"),0)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IFERROR(__xludf.DUMMYFUNCTION("IMPORTRANGE(""https://docs.google.com/spreadsheets/d/1ItG2mGa2ceCfYo0BwxsXqNm01IGEUdYcSSLTEv9YCik/edit?usp=sharing"",""เบิกจ่ายกองทุน!BJ81"")"),0)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IFERROR(__xludf.DUMMYFUNCTION("IMPORTRANGE(""https://docs.google.com/spreadsheets/d/1ItG2mGa2ceCfYo0BwxsXqNm01IGEUdYcSSLTEv9YCik/edit?usp=sharing"",""เบิกจ่ายกองทุน!BK81"")"),0)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IFERROR(__xludf.DUMMYFUNCTION("IMPORTRANGE(""https://docs.google.com/spreadsheets/d/1ItG2mGa2ceCfYo0BwxsXqNm01IGEUdYcSSLTEv9YCik/edit?usp=sharing"",""เบิกจ่ายกองทุน!BL81"")"),0)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IFERROR(__xludf.DUMMYFUNCTION("IMPORTRANGE(""https://docs.google.com/spreadsheets/d/1ItG2mGa2ceCfYo0BwxsXqNm01IGEUdYcSSLTEv9YCik/edit?usp=sharing"",""เบิกจ่ายกองทุน!BM81"")"),0)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IFERROR(__xludf.DUMMYFUNCTION("IMPORTRANGE(""https://docs.google.com/spreadsheets/d/1eHaY18a8A9IcSdp1K8H6x8fbOy06t2VsZHhMHf-1x7Y/edit?usp=sharing"",""แผน!H81"")"),0)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IFERROR(__xludf.DUMMYFUNCTION("IMPORTRANGE(""https://docs.google.com/spreadsheets/d/1eHaY18a8A9IcSdp1K8H6x8fbOy06t2VsZHhMHf-1x7Y/edit?usp=sharing"",""แผน!I81"")"),0)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IFERROR(__xludf.DUMMYFUNCTION("IMPORTRANGE(""https://docs.google.com/spreadsheets/d/1eHaY18a8A9IcSdp1K8H6x8fbOy06t2VsZHhMHf-1x7Y/edit?usp=sharing"",""แผน!F81"")"),0)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IFERROR(__xludf.DUMMYFUNCTION("IMPORTRANGE(""https://docs.google.com/spreadsheets/d/1eHaY18a8A9IcSdp1K8H6x8fbOy06t2VsZHhMHf-1x7Y/edit?usp=sharing"",""แผน!G81"")"),0)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IFERROR(__xludf.DUMMYFUNCTION("IMPORTRANGE(""https://docs.google.com/spreadsheets/d/1eHaY18a8A9IcSdp1K8H6x8fbOy06t2VsZHhMHf-1x7Y/edit?usp=sharing"",""แผน!D81"")"),0)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IFERROR(__xludf.DUMMYFUNCTION("IMPORTRANGE(""https://docs.google.com/spreadsheets/d/1eHaY18a8A9IcSdp1K8H6x8fbOy06t2VsZHhMHf-1x7Y/edit?usp=sharing"",""แผน!E81"")"),0)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IFERROR(__xludf.DUMMYFUNCTION("IMPORTRANGE(""https://docs.google.com/spreadsheets/d/1eHaY18a8A9IcSdp1K8H6x8fbOy06t2VsZHhMHf-1x7Y/edit?usp=sharing"",""แผน!J81"")"),0)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7200</v>
      </c>
      <c r="T94" s="132">
        <f ca="1">IF(Q94&gt;0,S94*100/Q94,0)</f>
        <v>8.5287846481876333</v>
      </c>
      <c r="U94" s="132">
        <f ca="1">IF(R94&gt;0,S94*100/R94,0)</f>
        <v>8.5287846481876333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7200</v>
      </c>
      <c r="T96" s="47">
        <f ca="1">IF(Q96&gt;0,S96*100/Q96,0)</f>
        <v>8.5287846481876333</v>
      </c>
      <c r="U96" s="47">
        <f ca="1">IF(R96&gt;0,S96*100/R96,0)</f>
        <v>8.5287846481876333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7200</v>
      </c>
      <c r="T97" s="47">
        <f ca="1">IF(Q97&gt;0,S97*100/Q97,0)</f>
        <v>8.5287846481876333</v>
      </c>
      <c r="U97" s="47">
        <f ca="1">IF(R97&gt;0,S97*100/R97,0)</f>
        <v>8.5287846481876333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IFERROR(__xludf.DUMMYFUNCTION("IMPORTRANGE(""https://docs.google.com/spreadsheets/d/1-uDff_7J0KD5mKrp0Vvzr7lt3OU09vwQwhkpOPPYv2Y/edit?usp=sharing"",""งบพรบ!AW81"")"),6000)</f>
        <v>6000</v>
      </c>
      <c r="M99" s="47">
        <f ca="1">IFERROR(__xludf.DUMMYFUNCTION("IMPORTRANGE(""https://docs.google.com/spreadsheets/d/1-uDff_7J0KD5mKrp0Vvzr7lt3OU09vwQwhkpOPPYv2Y/edit?usp=sharing"",""งบพรบ!BB81"")"),6000)</f>
        <v>6000</v>
      </c>
      <c r="N99" s="47">
        <f ca="1">IFERROR(__xludf.DUMMYFUNCTION("IMPORTRANGE(""https://docs.google.com/spreadsheets/d/1-uDff_7J0KD5mKrp0Vvzr7lt3OU09vwQwhkpOPPYv2Y/edit?usp=sharing"",""งบพรบ!BD81"")"),0)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IFERROR(__xludf.DUMMYFUNCTION("IMPORTRANGE(""https://docs.google.com/spreadsheets/d/1ItG2mGa2ceCfYo0BwxsXqNm01IGEUdYcSSLTEv9YCik/edit?usp=sharing"",""เบิกจ่ายกองทุน!AK81"")"),84420)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IFERROR(__xludf.DUMMYFUNCTION("IMPORTRANGE(""https://docs.google.com/spreadsheets/d/1ItG2mGa2ceCfYo0BwxsXqNm01IGEUdYcSSLTEv9YCik/edit?usp=sharing"",""เบิกจ่ายกองทุน!AL81"")"),7200)</f>
        <v>7200</v>
      </c>
      <c r="T99" s="47">
        <f ca="1">IF(Q99&gt;0,S99*100/Q99,0)</f>
        <v>8.5287846481876333</v>
      </c>
      <c r="U99" s="47">
        <f ca="1">IF(R99&gt;0,S99*100/R99,0)</f>
        <v>8.5287846481876333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IFERROR(__xludf.DUMMYFUNCTION("IMPORTRANGE(""https://docs.google.com/spreadsheets/d/1eHaY18a8A9IcSdp1K8H6x8fbOy06t2VsZHhMHf-1x7Y/edit?usp=sharing"",""แผน!N81"")"),30)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IFERROR(__xludf.DUMMYFUNCTION("IMPORTRANGE(""https://docs.google.com/spreadsheets/d/1eHaY18a8A9IcSdp1K8H6x8fbOy06t2VsZHhMHf-1x7Y/edit?usp=sharing"",""แผน!O81"")"),10)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IFERROR(__xludf.DUMMYFUNCTION("IMPORTRANGE(""https://docs.google.com/spreadsheets/d/1eHaY18a8A9IcSdp1K8H6x8fbOy06t2VsZHhMHf-1x7Y/edit?usp=sharing"",""แผน!N81"")"),30)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IFERROR(__xludf.DUMMYFUNCTION("IMPORTRANGE(""https://docs.google.com/spreadsheets/d/1eHaY18a8A9IcSdp1K8H6x8fbOy06t2VsZHhMHf-1x7Y/edit?usp=sharing"",""แผน!O81"")"),10)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118224</v>
      </c>
      <c r="T117" s="132">
        <f ca="1">IF(Q117&gt;0,S117*100/Q117,0)</f>
        <v>61.748668129113128</v>
      </c>
      <c r="U117" s="132">
        <f ca="1">IF(R117&gt;0,S117*100/R117,0)</f>
        <v>61.748668129113128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118224</v>
      </c>
      <c r="T119" s="47">
        <f ca="1">IF(Q119&gt;0,S119*100/Q119,0)</f>
        <v>61.748668129113128</v>
      </c>
      <c r="U119" s="47">
        <f ca="1">IF(R119&gt;0,S119*100/R119,0)</f>
        <v>61.748668129113128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118224</v>
      </c>
      <c r="T120" s="47">
        <f ca="1">IF(Q120&gt;0,S120*100/Q120,0)</f>
        <v>61.748668129113128</v>
      </c>
      <c r="U120" s="47">
        <f ca="1">IF(R120&gt;0,S120*100/R120,0)</f>
        <v>61.748668129113128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IFERROR(__xludf.DUMMYFUNCTION("IMPORTRANGE(""https://docs.google.com/spreadsheets/d/1ItG2mGa2ceCfYo0BwxsXqNm01IGEUdYcSSLTEv9YCik/edit?usp=sharing"",""เบิกจ่ายกองทุน!V81"")"),191460)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IFERROR(__xludf.DUMMYFUNCTION("IMPORTRANGE(""https://docs.google.com/spreadsheets/d/1ItG2mGa2ceCfYo0BwxsXqNm01IGEUdYcSSLTEv9YCik/edit?usp=sharing"",""เบิกจ่ายกองทุน!W81"")"),118224)</f>
        <v>118224</v>
      </c>
      <c r="T122" s="47">
        <f ca="1">IF(Q122&gt;0,S122*100/Q122,0)</f>
        <v>61.748668129113128</v>
      </c>
      <c r="U122" s="47">
        <f ca="1">IF(R122&gt;0,S122*100/R122,0)</f>
        <v>61.748668129113128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IFERROR(__xludf.DUMMYFUNCTION("IMPORTRANGE(""https://docs.google.com/spreadsheets/d/1ItG2mGa2ceCfYo0BwxsXqNm01IGEUdYcSSLTEv9YCik/edit?usp=sharing"",""เบิกจ่ายกองทุน!X81"")"),0)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IFERROR(__xludf.DUMMYFUNCTION("IMPORTRANGE(""https://docs.google.com/spreadsheets/d/1ItG2mGa2ceCfYo0BwxsXqNm01IGEUdYcSSLTEv9YCik/edit?usp=sharing"",""เบิกจ่ายกองทุน!Y81"")"),0)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IFERROR(__xludf.DUMMYFUNCTION("IMPORTRANGE(""https://docs.google.com/spreadsheets/d/1ItG2mGa2ceCfYo0BwxsXqNm01IGEUdYcSSLTEv9YCik/edit?usp=sharing"",""เบิกจ่ายกองทุน!Z81"")"),0)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IFERROR(__xludf.DUMMYFUNCTION("IMPORTRANGE(""https://docs.google.com/spreadsheets/d/1eHaY18a8A9IcSdp1K8H6x8fbOy06t2VsZHhMHf-1x7Y/edit?usp=sharing"",""แผน!FF81"")"),15)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IFERROR(__xludf.DUMMYFUNCTION("IMPORTRANGE(""https://docs.google.com/spreadsheets/d/1eHaY18a8A9IcSdp1K8H6x8fbOy06t2VsZHhMHf-1x7Y/edit?usp=sharing"",""แผน!FG81"")"),1)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IFERROR(__xludf.DUMMYFUNCTION("IMPORTRANGE(""https://docs.google.com/spreadsheets/d/1eHaY18a8A9IcSdp1K8H6x8fbOy06t2VsZHhMHf-1x7Y/edit?usp=sharing"",""แผน!FH81"")"),15)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IFERROR(__xludf.DUMMYFUNCTION("IMPORTRANGE(""https://docs.google.com/spreadsheets/d/1eHaY18a8A9IcSdp1K8H6x8fbOy06t2VsZHhMHf-1x7Y/edit?usp=sharing"",""แผน!FI81"")"),1)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IFERROR(__xludf.DUMMYFUNCTION("IMPORTRANGE(""https://docs.google.com/spreadsheets/d/1ItG2mGa2ceCfYo0BwxsXqNm01IGEUdYcSSLTEv9YCik/edit?usp=sharing"",""เบิกจ่ายกองทุน!CH81"")"),0)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IFERROR(__xludf.DUMMYFUNCTION("IMPORTRANGE(""https://docs.google.com/spreadsheets/d/1ItG2mGa2ceCfYo0BwxsXqNm01IGEUdYcSSLTEv9YCik/edit?usp=sharing"",""เบิกจ่ายกองทุน!CI81"")"),0)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IFERROR(__xludf.DUMMYFUNCTION("IMPORTRANGE(""https://docs.google.com/spreadsheets/d/1ItG2mGa2ceCfYo0BwxsXqNm01IGEUdYcSSLTEv9YCik/edit?usp=sharing"",""เบิกจ่ายกองทุน!CJ81"")"),0)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IFERROR(__xludf.DUMMYFUNCTION("IMPORTRANGE(""https://docs.google.com/spreadsheets/d/1ItG2mGa2ceCfYo0BwxsXqNm01IGEUdYcSSLTEv9YCik/edit?usp=sharing"",""เบิกจ่ายกองทุน!CK81"")"),0)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IFERROR(__xludf.DUMMYFUNCTION("IMPORTRANGE(""https://docs.google.com/spreadsheets/d/1eHaY18a8A9IcSdp1K8H6x8fbOy06t2VsZHhMHf-1x7Y/edit?usp=sharing"",""แผน!U81"")"),0)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IFERROR(__xludf.DUMMYFUNCTION("IMPORTRANGE(""https://docs.google.com/spreadsheets/d/1eHaY18a8A9IcSdp1K8H6x8fbOy06t2VsZHhMHf-1x7Y/edit?usp=sharing"",""แผน!V81"")"),0)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IFERROR(__xludf.DUMMYFUNCTION("IMPORTRANGE(""https://docs.google.com/spreadsheets/d/1eHaY18a8A9IcSdp1K8H6x8fbOy06t2VsZHhMHf-1x7Y/edit?usp=sharing"",""แผน!W81"")"),0)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IFERROR(__xludf.DUMMYFUNCTION("IMPORTRANGE(""https://docs.google.com/spreadsheets/d/1eHaY18a8A9IcSdp1K8H6x8fbOy06t2VsZHhMHf-1x7Y/edit?usp=sharing"",""แผน!X81"")"),0)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IFERROR(__xludf.DUMMYFUNCTION("IMPORTRANGE(""https://docs.google.com/spreadsheets/d/1eHaY18a8A9IcSdp1K8H6x8fbOy06t2VsZHhMHf-1x7Y/edit?usp=sharing"",""แผน!Y81"")"),0)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IFERROR(__xludf.DUMMYFUNCTION("IMPORTRANGE(""https://docs.google.com/spreadsheets/d/1-uDff_7J0KD5mKrp0Vvzr7lt3OU09vwQwhkpOPPYv2Y/edit?usp=sharing"",""งบพรบ!CF81"")"),0)</f>
        <v>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IFERROR(__xludf.DUMMYFUNCTION("IMPORTRANGE(""https://docs.google.com/spreadsheets/d/1ItG2mGa2ceCfYo0BwxsXqNm01IGEUdYcSSLTEv9YCik/edit?usp=sharing"",""เบิกจ่ายกองทุน!AO81"")"),0)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IFERROR(__xludf.DUMMYFUNCTION("IMPORTRANGE(""https://docs.google.com/spreadsheets/d/1eHaY18a8A9IcSdp1K8H6x8fbOy06t2VsZHhMHf-1x7Y/edit?usp=sharing"",""แผน!Z81"")"),0)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IFERROR(__xludf.DUMMYFUNCTION("IMPORTRANGE(""https://docs.google.com/spreadsheets/d/1eHaY18a8A9IcSdp1K8H6x8fbOy06t2VsZHhMHf-1x7Y/edit?usp=sharing"",""แผน!Z81"")"),0)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IFERROR(__xludf.DUMMYFUNCTION("IMPORTRANGE(""https://docs.google.com/spreadsheets/d/1eHaY18a8A9IcSdp1K8H6x8fbOy06t2VsZHhMHf-1x7Y/edit?usp=sharing"",""แผน!Z81"")"),0)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36580</v>
      </c>
      <c r="N173" s="132">
        <f ca="1">N174+N175</f>
        <v>36580</v>
      </c>
      <c r="O173" s="132">
        <f ca="1">IF(L173&gt;0,N173*100/L173,0)</f>
        <v>186.72792240939253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36580</v>
      </c>
      <c r="N175" s="47">
        <f ca="1">N178+N181</f>
        <v>36580</v>
      </c>
      <c r="O175" s="47">
        <f ca="1">IF(L175&gt;0,N175*100/L175,0)</f>
        <v>186.72792240939253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36580</v>
      </c>
      <c r="N176" s="47">
        <f ca="1">N177+N178</f>
        <v>36580</v>
      </c>
      <c r="O176" s="47">
        <f ca="1">IF(L176&gt;0,N176*100/L176,0)</f>
        <v>186.72792240939253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IFERROR(__xludf.DUMMYFUNCTION("IMPORTRANGE(""https://docs.google.com/spreadsheets/d/1-uDff_7J0KD5mKrp0Vvzr7lt3OU09vwQwhkpOPPYv2Y/edit?usp=sharing"",""งบพรบ!CR81"")"),36580)</f>
        <v>36580</v>
      </c>
      <c r="O178" s="47">
        <f ca="1">IF(L178&gt;0,N178*100/L178,0)</f>
        <v>186.72792240939253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IFERROR(__xludf.DUMMYFUNCTION("IMPORTRANGE(""https://docs.google.com/spreadsheets/d/1ItG2mGa2ceCfYo0BwxsXqNm01IGEUdYcSSLTEv9YCik/edit?usp=sharing"",""เบิกจ่ายกองทุน!DI81"")"),0)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IFERROR(__xludf.DUMMYFUNCTION("IMPORTRANGE(""https://docs.google.com/spreadsheets/d/1eHaY18a8A9IcSdp1K8H6x8fbOy06t2VsZHhMHf-1x7Y/edit?usp=sharing"",""แผน!AA81"")"),7)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107500</v>
      </c>
      <c r="N186" s="132">
        <f ca="1">N187+N188</f>
        <v>97680.5</v>
      </c>
      <c r="O186" s="132">
        <f ca="1">IF(L186&gt;0,N186*100/L186,0)</f>
        <v>92.588151658767771</v>
      </c>
      <c r="P186" s="132">
        <f ca="1">IF(M186&gt;0,N186*100/M186,0)</f>
        <v>90.86558139534884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107500</v>
      </c>
      <c r="N188" s="47">
        <f ca="1">N191+N194</f>
        <v>97680.5</v>
      </c>
      <c r="O188" s="47">
        <f ca="1">IF(L188&gt;0,N188*100/L188,0)</f>
        <v>92.588151658767771</v>
      </c>
      <c r="P188" s="47">
        <f ca="1">IF(M188&gt;0,N188*100/M188,0)</f>
        <v>90.86558139534884</v>
      </c>
      <c r="Q188" s="47">
        <f ca="1">Q191+Q194</f>
        <v>28000</v>
      </c>
      <c r="R188" s="47">
        <f ca="1">R191+R194</f>
        <v>28000</v>
      </c>
      <c r="S188" s="47">
        <f ca="1">S191+S194</f>
        <v>28000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107500</v>
      </c>
      <c r="N189" s="47">
        <f ca="1">N190+N191</f>
        <v>97680.5</v>
      </c>
      <c r="O189" s="47">
        <f ca="1">IF(L189&gt;0,N189*100/L189,0)</f>
        <v>92.588151658767771</v>
      </c>
      <c r="P189" s="47">
        <f ca="1">IF(M189&gt;0,N189*100/M189,0)</f>
        <v>90.86558139534884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IFERROR(__xludf.DUMMYFUNCTION("IMPORTRANGE(""https://docs.google.com/spreadsheets/d/1-uDff_7J0KD5mKrp0Vvzr7lt3OU09vwQwhkpOPPYv2Y/edit?usp=sharing"",""งบพรบ!CU81"")"),105500)</f>
        <v>105500</v>
      </c>
      <c r="M191" s="47">
        <f ca="1">IFERROR(__xludf.DUMMYFUNCTION("IMPORTRANGE(""https://docs.google.com/spreadsheets/d/1-uDff_7J0KD5mKrp0Vvzr7lt3OU09vwQwhkpOPPYv2Y/edit?usp=sharing"",""งบพรบ!CZ81"")"),107500)</f>
        <v>107500</v>
      </c>
      <c r="N191" s="47">
        <f ca="1">IFERROR(__xludf.DUMMYFUNCTION("IMPORTRANGE(""https://docs.google.com/spreadsheets/d/1-uDff_7J0KD5mKrp0Vvzr7lt3OU09vwQwhkpOPPYv2Y/edit?usp=sharing"",""งบพรบ!DB81"")"),97680.5)</f>
        <v>97680.5</v>
      </c>
      <c r="O191" s="47">
        <f ca="1">IF(L191&gt;0,N191*100/L191,0)</f>
        <v>92.588151658767771</v>
      </c>
      <c r="P191" s="47">
        <f ca="1">IF(M191&gt;0,N191*100/M191,0)</f>
        <v>90.86558139534884</v>
      </c>
      <c r="Q191" s="47">
        <f ca="1">IFERROR(__xludf.DUMMYFUNCTION("IMPORTRANGE(""https://docs.google.com/spreadsheets/d/1ItG2mGa2ceCfYo0BwxsXqNm01IGEUdYcSSLTEv9YCik/edit?usp=sharing"",""เบิกจ่ายกองทุน!BQ81"")"),28000)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IFERROR(__xludf.DUMMYFUNCTION("IMPORTRANGE(""https://docs.google.com/spreadsheets/d/1ItG2mGa2ceCfYo0BwxsXqNm01IGEUdYcSSLTEv9YCik/edit?usp=sharing"",""เบิกจ่ายกองทุน!BS81"")"),28000)</f>
        <v>28000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IFERROR(__xludf.DUMMYFUNCTION("IMPORTRANGE(""https://docs.google.com/spreadsheets/d/1ItG2mGa2ceCfYo0BwxsXqNm01IGEUdYcSSLTEv9YCik/edit?usp=sharing"",""เบิกจ่ายกองทุน!BT81"")"),0)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IFERROR(__xludf.DUMMYFUNCTION("IMPORTRANGE(""https://docs.google.com/spreadsheets/d/1ItG2mGa2ceCfYo0BwxsXqNm01IGEUdYcSSLTEv9YCik/edit?usp=sharing"",""เบิกจ่ายกองทุน!BU81"")"),0)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IFERROR(__xludf.DUMMYFUNCTION("IMPORTRANGE(""https://docs.google.com/spreadsheets/d/1ItG2mGa2ceCfYo0BwxsXqNm01IGEUdYcSSLTEv9YCik/edit?usp=sharing"",""เบิกจ่ายกองทุน!BV81"")"),0)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769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IFERROR(__xludf.DUMMYFUNCTION("IMPORTRANGE(""https://docs.google.com/spreadsheets/d/1eHaY18a8A9IcSdp1K8H6x8fbOy06t2VsZHhMHf-1x7Y/edit?usp=sharing"",""แผน!AE81"")"),4)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9000</v>
      </c>
      <c r="O203" s="132">
        <f ca="1">IF(L203&gt;0,N203*100/L203,0)</f>
        <v>69.230769230769226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28000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IFERROR(__xludf.DUMMYFUNCTION("IMPORTRANGE(""https://docs.google.com/spreadsheets/d/1eHaY18a8A9IcSdp1K8H6x8fbOy06t2VsZHhMHf-1x7Y/edit?usp=sharing"",""แผน!AH81"")"),0)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IFERROR(__xludf.DUMMYFUNCTION("IMPORTRANGE(""https://docs.google.com/spreadsheets/d/1eHaY18a8A9IcSdp1K8H6x8fbOy06t2VsZHhMHf-1x7Y/edit?usp=sharing"",""แผน!AI81"")"),0)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743">
        <v>28000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IFERROR(__xludf.DUMMYFUNCTION("IMPORTRANGE(""https://docs.google.com/spreadsheets/d/1eHaY18a8A9IcSdp1K8H6x8fbOy06t2VsZHhMHf-1x7Y/edit?usp=sharing"",""แผน!AK81"")"),2)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IFERROR(__xludf.DUMMYFUNCTION("IMPORTRANGE(""https://docs.google.com/spreadsheets/d/1eHaY18a8A9IcSdp1K8H6x8fbOy06t2VsZHhMHf-1x7Y/edit?usp=sharing"",""แผน!JX81"")"),2)</f>
        <v>2</v>
      </c>
      <c r="J211" s="167">
        <v>2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IFERROR(__xludf.DUMMYFUNCTION("IMPORTRANGE(""https://docs.google.com/spreadsheets/d/1eHaY18a8A9IcSdp1K8H6x8fbOy06t2VsZHhMHf-1x7Y/edit?usp=sharing"",""แผน!JY81"")"),1)</f>
        <v>1</v>
      </c>
      <c r="J212" s="167">
        <v>1</v>
      </c>
      <c r="K212" s="153">
        <f ca="1">IF(I212&gt;0,J212*100/I212,0)</f>
        <v>100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IFERROR(__xludf.DUMMYFUNCTION("IMPORTRANGE(""https://docs.google.com/spreadsheets/d/1eHaY18a8A9IcSdp1K8H6x8fbOy06t2VsZHhMHf-1x7Y/edit?usp=sharing"",""แผน!AM81"")"),0)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IFERROR(__xludf.DUMMYFUNCTION("IMPORTRANGE(""https://docs.google.com/spreadsheets/d/1eHaY18a8A9IcSdp1K8H6x8fbOy06t2VsZHhMHf-1x7Y/edit?usp=sharing"",""แผน!AN81"")"),0)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IFERROR(__xludf.DUMMYFUNCTION("IMPORTRANGE(""https://docs.google.com/spreadsheets/d/1eHaY18a8A9IcSdp1K8H6x8fbOy06t2VsZHhMHf-1x7Y/edit?usp=sharing"",""แผน!AO81"")"),0)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IFERROR(__xludf.DUMMYFUNCTION("IMPORTRANGE(""https://docs.google.com/spreadsheets/d/1eHaY18a8A9IcSdp1K8H6x8fbOy06t2VsZHhMHf-1x7Y/edit?usp=sharing"",""แผน!LY81"")"),0)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IFERROR(__xludf.DUMMYFUNCTION("IMPORTRANGE(""https://docs.google.com/spreadsheets/d/1eHaY18a8A9IcSdp1K8H6x8fbOy06t2VsZHhMHf-1x7Y/edit?usp=sharing"",""แผน!AP81"")"),0)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20000</v>
      </c>
      <c r="K221" s="229">
        <f ca="1">IF(I221&gt;0,J221*100/I221,0)</f>
        <v>100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3000</v>
      </c>
      <c r="O222" s="132">
        <f ca="1">IF(L222&gt;0,N222*100/L222,0)</f>
        <v>66.666666666666671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IFERROR(__xludf.DUMMYFUNCTION("IMPORTRANGE(""https://docs.google.com/spreadsheets/d/1eHaY18a8A9IcSdp1K8H6x8fbOy06t2VsZHhMHf-1x7Y/edit?usp=sharing"",""แผน!AR81"")"),2500)</f>
        <v>2500</v>
      </c>
      <c r="M223" s="46"/>
      <c r="N223" s="743">
        <v>1500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IFERROR(__xludf.DUMMYFUNCTION("IMPORTRANGE(""https://docs.google.com/spreadsheets/d/1eHaY18a8A9IcSdp1K8H6x8fbOy06t2VsZHhMHf-1x7Y/edit?usp=sharing"",""แผน!AS81"")"),2000)</f>
        <v>2000</v>
      </c>
      <c r="M224" s="46"/>
      <c r="N224" s="743">
        <v>1500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IFERROR(__xludf.DUMMYFUNCTION("IMPORTRANGE(""https://docs.google.com/spreadsheets/d/1eHaY18a8A9IcSdp1K8H6x8fbOy06t2VsZHhMHf-1x7Y/edit?usp=sharing"",""แผน!AT81"")"),0)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IFERROR(__xludf.DUMMYFUNCTION("IMPORTRANGE(""https://docs.google.com/spreadsheets/d/1eHaY18a8A9IcSdp1K8H6x8fbOy06t2VsZHhMHf-1x7Y/edit?usp=sharing"",""แผน!AV81"")"),20000)</f>
        <v>20000</v>
      </c>
      <c r="J228" s="167">
        <v>20000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20000</v>
      </c>
      <c r="K229" s="153">
        <f ca="1">IF(I229&gt;0,J229*100/I229,0)</f>
        <v>100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IFERROR(__xludf.DUMMYFUNCTION("IMPORTRANGE(""https://docs.google.com/spreadsheets/d/1eHaY18a8A9IcSdp1K8H6x8fbOy06t2VsZHhMHf-1x7Y/edit?usp=sharing"",""แผน!AU81"")"),0)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IFERROR(__xludf.DUMMYFUNCTION("IMPORTRANGE(""https://docs.google.com/spreadsheets/d/1eHaY18a8A9IcSdp1K8H6x8fbOy06t2VsZHhMHf-1x7Y/edit?usp=sharing"",""แผน!AX81"")"),0)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IFERROR(__xludf.DUMMYFUNCTION("IMPORTRANGE(""https://docs.google.com/spreadsheets/d/1eHaY18a8A9IcSdp1K8H6x8fbOy06t2VsZHhMHf-1x7Y/edit?usp=sharing"",""แผน!AY81"")"),0)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IFERROR(__xludf.DUMMYFUNCTION("IMPORTRANGE(""https://docs.google.com/spreadsheets/d/1eHaY18a8A9IcSdp1K8H6x8fbOy06t2VsZHhMHf-1x7Y/edit?usp=sharing"",""แผน!AZ81"")"),0)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IFERROR(__xludf.DUMMYFUNCTION("IMPORTRANGE(""https://docs.google.com/spreadsheets/d/1eHaY18a8A9IcSdp1K8H6x8fbOy06t2VsZHhMHf-1x7Y/edit?usp=sharing"",""แผน!BA81"")"),0)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IFERROR(__xludf.DUMMYFUNCTION("IMPORTRANGE(""https://docs.google.com/spreadsheets/d/1eHaY18a8A9IcSdp1K8H6x8fbOy06t2VsZHhMHf-1x7Y/edit?usp=sharing"",""แผน!BG81"")"),0)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IFERROR(__xludf.DUMMYFUNCTION("IMPORTRANGE(""https://docs.google.com/spreadsheets/d/1eHaY18a8A9IcSdp1K8H6x8fbOy06t2VsZHhMHf-1x7Y/edit?usp=sharing"",""แผน!BB81"")"),0)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IFERROR(__xludf.DUMMYFUNCTION("IMPORTRANGE(""https://docs.google.com/spreadsheets/d/1eHaY18a8A9IcSdp1K8H6x8fbOy06t2VsZHhMHf-1x7Y/edit?usp=sharing"",""แผน!BC81"")"),0)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IFERROR(__xludf.DUMMYFUNCTION("IMPORTRANGE(""https://docs.google.com/spreadsheets/d/1eHaY18a8A9IcSdp1K8H6x8fbOy06t2VsZHhMHf-1x7Y/edit?usp=sharing"",""แผน!BD81"")"),0)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IFERROR(__xludf.DUMMYFUNCTION("IMPORTRANGE(""https://docs.google.com/spreadsheets/d/1eHaY18a8A9IcSdp1K8H6x8fbOy06t2VsZHhMHf-1x7Y/edit?usp=sharing"",""แผน!BE81"")"),0)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IFERROR(__xludf.DUMMYFUNCTION("IMPORTRANGE(""https://docs.google.com/spreadsheets/d/1eHaY18a8A9IcSdp1K8H6x8fbOy06t2VsZHhMHf-1x7Y/edit?usp=sharing"",""แผน!BH81"")"),0)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1950</v>
      </c>
      <c r="T266" s="421">
        <f ca="1">IF(Q266&gt;0,S266*100/Q266,0)</f>
        <v>3.8491906829846032</v>
      </c>
      <c r="U266" s="421">
        <f ca="1">IF(R266&gt;0,S266*100/R266,0)</f>
        <v>3.8491906829846032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1950</v>
      </c>
      <c r="T268" s="331">
        <f ca="1">IF(Q268&gt;0,S268*100/Q268,0)</f>
        <v>3.8491906829846032</v>
      </c>
      <c r="U268" s="331">
        <f ca="1">IF(R268&gt;0,S268*100/R268,0)</f>
        <v>3.8491906829846032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1950</v>
      </c>
      <c r="T269" s="331">
        <f ca="1">IF(Q269&gt;0,S269*100/Q269,0)</f>
        <v>3.8491906829846032</v>
      </c>
      <c r="U269" s="331">
        <f ca="1">IF(R269&gt;0,S269*100/R269,0)</f>
        <v>3.8491906829846032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IFERROR(__xludf.DUMMYFUNCTION("IMPORTRANGE(""https://docs.google.com/spreadsheets/d/1-uDff_7J0KD5mKrp0Vvzr7lt3OU09vwQwhkpOPPYv2Y/edit?usp=sharing"",""งบพรบ!DE81"")"),5000)</f>
        <v>5000</v>
      </c>
      <c r="M271" s="331">
        <f ca="1">IFERROR(__xludf.DUMMYFUNCTION("IMPORTRANGE(""https://docs.google.com/spreadsheets/d/1-uDff_7J0KD5mKrp0Vvzr7lt3OU09vwQwhkpOPPYv2Y/edit?usp=sharing"",""งบพรบ!DJ81"")"),5000)</f>
        <v>5000</v>
      </c>
      <c r="N271" s="331">
        <f ca="1">IFERROR(__xludf.DUMMYFUNCTION("IMPORTRANGE(""https://docs.google.com/spreadsheets/d/1-uDff_7J0KD5mKrp0Vvzr7lt3OU09vwQwhkpOPPYv2Y/edit?usp=sharing"",""งบพรบ!DL81"")"),0)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IFERROR(__xludf.DUMMYFUNCTION("IMPORTRANGE(""https://docs.google.com/spreadsheets/d/1ItG2mGa2ceCfYo0BwxsXqNm01IGEUdYcSSLTEv9YCik/edit?usp=sharing"",""เบิกจ่ายกองทุน!AP81"")"),50660)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IFERROR(__xludf.DUMMYFUNCTION("IMPORTRANGE(""https://docs.google.com/spreadsheets/d/1ItG2mGa2ceCfYo0BwxsXqNm01IGEUdYcSSLTEv9YCik/edit?usp=sharing"",""เบิกจ่ายกองทุน!AQ81"")"),50660)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IFERROR(__xludf.DUMMYFUNCTION("IMPORTRANGE(""https://docs.google.com/spreadsheets/d/1ItG2mGa2ceCfYo0BwxsXqNm01IGEUdYcSSLTEv9YCik/edit?usp=sharing"",""เบิกจ่ายกองทุน!AR81"")"),1950)</f>
        <v>1950</v>
      </c>
      <c r="T271" s="331">
        <f ca="1">IF(Q271&gt;0,S271*100/Q271,0)</f>
        <v>3.8491906829846032</v>
      </c>
      <c r="U271" s="331">
        <f ca="1">IF(R271&gt;0,S271*100/R271,0)</f>
        <v>3.8491906829846032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IFERROR(__xludf.DUMMYFUNCTION("IMPORTRANGE(""https://docs.google.com/spreadsheets/d/1-uDff_7J0KD5mKrp0Vvzr7lt3OU09vwQwhkpOPPYv2Y/edit?usp=sharing"",""งบพรบ!DH81"")"),0)</f>
        <v>0</v>
      </c>
      <c r="M274" s="331">
        <f ca="1">IFERROR(__xludf.DUMMYFUNCTION("IMPORTRANGE(""https://docs.google.com/spreadsheets/d/1-uDff_7J0KD5mKrp0Vvzr7lt3OU09vwQwhkpOPPYv2Y/edit?usp=sharing"",""งบพรบ!DK81"")"),0)</f>
        <v>0</v>
      </c>
      <c r="N274" s="331">
        <f ca="1">IFERROR(__xludf.DUMMYFUNCTION("IMPORTRANGE(""https://docs.google.com/spreadsheets/d/1-uDff_7J0KD5mKrp0Vvzr7lt3OU09vwQwhkpOPPYv2Y/edit?usp=sharing"",""งบพรบ!DM81"")"),0)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IFERROR(__xludf.DUMMYFUNCTION("IMPORTRANGE(""https://docs.google.com/spreadsheets/d/1eHaY18a8A9IcSdp1K8H6x8fbOy06t2VsZHhMHf-1x7Y/edit?usp=sharing"",""แผน!EC81"")"),22)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IFERROR(__xludf.DUMMYFUNCTION("IMPORTRANGE(""https://docs.google.com/spreadsheets/d/1eHaY18a8A9IcSdp1K8H6x8fbOy06t2VsZHhMHf-1x7Y/edit?usp=sharing"",""แผน!EE81"")"),0)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IFERROR(__xludf.DUMMYFUNCTION("IMPORTRANGE(""https://docs.google.com/spreadsheets/d/1eHaY18a8A9IcSdp1K8H6x8fbOy06t2VsZHhMHf-1x7Y/edit?usp=sharing"",""แผน!ED81"")"),0)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IFERROR(__xludf.DUMMYFUNCTION("IMPORTRANGE(""https://docs.google.com/spreadsheets/d/1eHaY18a8A9IcSdp1K8H6x8fbOy06t2VsZHhMHf-1x7Y/edit?usp=sharing"",""แผน!ED81"")"),0)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25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34700</v>
      </c>
      <c r="T303" s="132">
        <f ca="1">IF(Q303&gt;0,S303*100/Q303,0)</f>
        <v>15.338086342552423</v>
      </c>
      <c r="U303" s="132">
        <f ca="1">IF(R303&gt;0,S303*100/R303,0)</f>
        <v>15.338101257989516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34700</v>
      </c>
      <c r="T305" s="47">
        <f ca="1">IF(Q305&gt;0,S305*100/Q305,0)</f>
        <v>15.338086342552423</v>
      </c>
      <c r="U305" s="47">
        <f ca="1">IF(R305&gt;0,S305*100/R305,0)</f>
        <v>15.338101257989516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34700</v>
      </c>
      <c r="T306" s="47">
        <f ca="1">IF(Q306&gt;0,S306*100/Q306,0)</f>
        <v>15.338086342552423</v>
      </c>
      <c r="U306" s="47">
        <f ca="1">IF(R306&gt;0,S306*100/R306,0)</f>
        <v>15.338101257989516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IFERROR(__xludf.DUMMYFUNCTION("IMPORTRANGE(""https://docs.google.com/spreadsheets/d/1ItG2mGa2ceCfYo0BwxsXqNm01IGEUdYcSSLTEv9YCik/edit?usp=sharing"",""เบิกจ่ายกองทุน!BC81"")"),226234)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IFERROR(__xludf.DUMMYFUNCTION("IMPORTRANGE(""https://docs.google.com/spreadsheets/d/1ItG2mGa2ceCfYo0BwxsXqNm01IGEUdYcSSLTEv9YCik/edit?usp=sharing"",""เบิกจ่ายกองทุน!BD81"")"),34700)</f>
        <v>34700</v>
      </c>
      <c r="T308" s="47">
        <f ca="1">IF(Q308&gt;0,S308*100/Q308,0)</f>
        <v>15.338086342552423</v>
      </c>
      <c r="U308" s="47">
        <f ca="1">IF(R308&gt;0,S308*100/R308,0)</f>
        <v>15.338101257989516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IFERROR(__xludf.DUMMYFUNCTION("IMPORTRANGE(""https://docs.google.com/spreadsheets/d/1eHaY18a8A9IcSdp1K8H6x8fbOy06t2VsZHhMHf-1x7Y/edit?usp=sharing"",""แผน!EF81"")"),25)</f>
        <v>25</v>
      </c>
      <c r="J314" s="167">
        <v>25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IFERROR(__xludf.DUMMYFUNCTION("IMPORTRANGE(""https://docs.google.com/spreadsheets/d/1eHaY18a8A9IcSdp1K8H6x8fbOy06t2VsZHhMHf-1x7Y/edit?usp=sharing"",""แผน!EJ81"")"),0)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540</v>
      </c>
      <c r="J332" s="697">
        <f ca="1">J344+J347+J348+J349+J353</f>
        <v>1272</v>
      </c>
      <c r="K332" s="696">
        <f ca="1">IF(I332&gt;0,J332*100/I332,0)</f>
        <v>235.55555555555554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178000</v>
      </c>
      <c r="M333" s="132">
        <f ca="1">M334+M335</f>
        <v>178000</v>
      </c>
      <c r="N333" s="132">
        <f ca="1">N334+N335</f>
        <v>45518.15</v>
      </c>
      <c r="O333" s="132">
        <f ca="1">IF(L333&gt;0,N333*100/L333,0)</f>
        <v>25.571994382022471</v>
      </c>
      <c r="P333" s="132">
        <f ca="1">IF(M333&gt;0,N333*100/M333,0)</f>
        <v>25.571994382022471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178000</v>
      </c>
      <c r="M335" s="47">
        <f ca="1">M338+M341</f>
        <v>178000</v>
      </c>
      <c r="N335" s="47">
        <f ca="1">N338+N341</f>
        <v>45518.15</v>
      </c>
      <c r="O335" s="47">
        <f ca="1">IF(L335&gt;0,N335*100/L335,0)</f>
        <v>25.571994382022471</v>
      </c>
      <c r="P335" s="47">
        <f ca="1">IF(M335&gt;0,N335*100/M335,0)</f>
        <v>25.571994382022471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178000</v>
      </c>
      <c r="M336" s="47">
        <f ca="1">M337+M338</f>
        <v>178000</v>
      </c>
      <c r="N336" s="47">
        <f ca="1">N337+N338</f>
        <v>45518.15</v>
      </c>
      <c r="O336" s="47">
        <f ca="1">IF(L336&gt;0,N336*100/L336,0)</f>
        <v>25.571994382022471</v>
      </c>
      <c r="P336" s="47">
        <f ca="1">IF(M336&gt;0,N336*100/M336,0)</f>
        <v>25.571994382022471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IFERROR(__xludf.DUMMYFUNCTION("IMPORTRANGE(""https://docs.google.com/spreadsheets/d/1-uDff_7J0KD5mKrp0Vvzr7lt3OU09vwQwhkpOPPYv2Y/edit?usp=sharing"",""งบพรบ!ES81"")"),178000)</f>
        <v>178000</v>
      </c>
      <c r="M338" s="47">
        <f ca="1">IFERROR(__xludf.DUMMYFUNCTION("IMPORTRANGE(""https://docs.google.com/spreadsheets/d/1-uDff_7J0KD5mKrp0Vvzr7lt3OU09vwQwhkpOPPYv2Y/edit?usp=sharing"",""งบพรบ!EX81"")"),178000)</f>
        <v>178000</v>
      </c>
      <c r="N338" s="47">
        <f ca="1">IFERROR(__xludf.DUMMYFUNCTION("IMPORTRANGE(""https://docs.google.com/spreadsheets/d/1-uDff_7J0KD5mKrp0Vvzr7lt3OU09vwQwhkpOPPYv2Y/edit?usp=sharing"",""งบพรบ!EZ81"")"),45518.15)</f>
        <v>45518.15</v>
      </c>
      <c r="O338" s="47">
        <f ca="1">IF(L338&gt;0,N338*100/L338,0)</f>
        <v>25.571994382022471</v>
      </c>
      <c r="P338" s="47">
        <f ca="1">IF(M338&gt;0,N338*100/M338,0)</f>
        <v>25.571994382022471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636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IFERROR(__xludf.DUMMYFUNCTION("IMPORTRANGE(""https://docs.google.com/spreadsheets/d/1eHaY18a8A9IcSdp1K8H6x8fbOy06t2VsZHhMHf-1x7Y/edit?usp=sharing"",""แผน!EK81"")"),540)</f>
        <v>540</v>
      </c>
      <c r="J344" s="152">
        <f ca="1">IFERROR(__xludf.DUMMYFUNCTION("IMPORTRANGE(""https://docs.google.com/spreadsheets/d/1awYsYK3VOup2i3Pq_Yjnu8DRu_mYwSBnCR2QPthd0rU/edit?usp=sharing"",""ศูนย์ยกเว้นโฉนด!D81"")"),627)</f>
        <v>627</v>
      </c>
      <c r="K344" s="47">
        <f ca="1">IF(I344&gt;0,J344*100/I344,0)</f>
        <v>116.11111111111111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IFERROR(__xludf.DUMMYFUNCTION("IMPORTRANGE(""https://docs.google.com/spreadsheets/d/1eHaY18a8A9IcSdp1K8H6x8fbOy06t2VsZHhMHf-1x7Y/edit?usp=sharing"",""แผน!EL81"")"),3)</f>
        <v>3</v>
      </c>
      <c r="J346" s="152">
        <f ca="1">IFERROR(__xludf.DUMMYFUNCTION("IMPORTRANGE(""https://docs.google.com/spreadsheets/d/1awYsYK3VOup2i3Pq_Yjnu8DRu_mYwSBnCR2QPthd0rU/edit?usp=sharing"",""ศูนย์รวม!E81"")"),3)</f>
        <v>3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IFERROR(__xludf.DUMMYFUNCTION("IMPORTRANGE(""https://docs.google.com/spreadsheets/d/1awYsYK3VOup2i3Pq_Yjnu8DRu_mYwSBnCR2QPthd0rU/edit?usp=sharing"",""ศูนย์ยกเว้นโฉนด!F81"")"),9)</f>
        <v>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1070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IFERROR(__xludf.DUMMYFUNCTION("IMPORTRANGE(""https://docs.google.com/spreadsheets/d/1awYsYK3VOup2i3Pq_Yjnu8DRu_mYwSBnCR2QPthd0rU/edit?usp=sharing"",""โฉนดM3!G81"")"),434)</f>
        <v>434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IFERROR(__xludf.DUMMYFUNCTION("IMPORTRANGE(""https://docs.google.com/spreadsheets/d/1awYsYK3VOup2i3Pq_Yjnu8DRu_mYwSBnCR2QPthd0rU/edit?usp=sharing"",""โฉนดM3!H81"")"),636)</f>
        <v>636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658660</v>
      </c>
      <c r="M356" s="132">
        <f ca="1">M357+M358</f>
        <v>724660</v>
      </c>
      <c r="N356" s="132">
        <f ca="1">N357+N358</f>
        <v>381876.67</v>
      </c>
      <c r="O356" s="132">
        <f ca="1">IF(L356&gt;0,N356*100/L356,0)</f>
        <v>57.977814046700878</v>
      </c>
      <c r="P356" s="132">
        <f ca="1">IF(M356&gt;0,N356*100/M356,0)</f>
        <v>52.697357381392656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658660</v>
      </c>
      <c r="M358" s="47">
        <f ca="1">M361+M364</f>
        <v>724660</v>
      </c>
      <c r="N358" s="47">
        <f ca="1">N361+N364</f>
        <v>381876.67</v>
      </c>
      <c r="O358" s="47">
        <f ca="1">IF(L358&gt;0,N358*100/L358,0)</f>
        <v>57.977814046700878</v>
      </c>
      <c r="P358" s="47">
        <f ca="1">IF(M358&gt;0,N358*100/M358,0)</f>
        <v>52.697357381392656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658660</v>
      </c>
      <c r="M359" s="47">
        <f ca="1">M360+M361</f>
        <v>724660</v>
      </c>
      <c r="N359" s="47">
        <f ca="1">N360+N361</f>
        <v>381876.67</v>
      </c>
      <c r="O359" s="47">
        <f ca="1">IF(L359&gt;0,N359*100/L359,0)</f>
        <v>57.977814046700878</v>
      </c>
      <c r="P359" s="47">
        <f ca="1">IF(M359&gt;0,N359*100/M359,0)</f>
        <v>52.697357381392656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IFERROR(__xludf.DUMMYFUNCTION("IMPORTRANGE(""https://docs.google.com/spreadsheets/d/1-uDff_7J0KD5mKrp0Vvzr7lt3OU09vwQwhkpOPPYv2Y/edit?usp=sharing"",""งบพรบ!FC81"")"),658660)</f>
        <v>658660</v>
      </c>
      <c r="M361" s="47">
        <f ca="1">IFERROR(__xludf.DUMMYFUNCTION("IMPORTRANGE(""https://docs.google.com/spreadsheets/d/1-uDff_7J0KD5mKrp0Vvzr7lt3OU09vwQwhkpOPPYv2Y/edit?usp=sharing"",""งบพรบ!FH81"")"),724660)</f>
        <v>724660</v>
      </c>
      <c r="N361" s="47">
        <f ca="1">IFERROR(__xludf.DUMMYFUNCTION("IMPORTRANGE(""https://docs.google.com/spreadsheets/d/1-uDff_7J0KD5mKrp0Vvzr7lt3OU09vwQwhkpOPPYv2Y/edit?usp=sharing"",""งบพรบ!FJ81"")"),381876.67)</f>
        <v>381876.67</v>
      </c>
      <c r="O361" s="47">
        <f ca="1">IF(L361&gt;0,N361*100/L361,0)</f>
        <v>57.977814046700878</v>
      </c>
      <c r="P361" s="47">
        <f ca="1">IF(M361&gt;0,N361*100/M361,0)</f>
        <v>52.697357381392656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60</v>
      </c>
      <c r="J365" s="228">
        <f ca="1">J371</f>
        <v>38</v>
      </c>
      <c r="K365" s="229">
        <f ca="1">IF(I365&gt;0,J365*100/I365,0)</f>
        <v>63.333333333333336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IFERROR(__xludf.DUMMYFUNCTION("IMPORTRANGE(""https://docs.google.com/spreadsheets/d/1tdoBKaGub7dwA3U6UFTqxio9LNnvDCQjHKmttSEBsFQ/edit?usp=sharing"",""จัดที่ดิน!AB81"")"),24)</f>
        <v>24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IFERROR(__xludf.DUMMYFUNCTION("IMPORTRANGE(""https://docs.google.com/spreadsheets/d/1eHaY18a8A9IcSdp1K8H6x8fbOy06t2VsZHhMHf-1x7Y/edit?usp=sharing"",""แผน!EW81"")"),115)</f>
        <v>115</v>
      </c>
      <c r="J368" s="685">
        <f ca="1">IFERROR(__xludf.DUMMYFUNCTION("IMPORTRANGE(""https://docs.google.com/spreadsheets/d/1tdoBKaGub7dwA3U6UFTqxio9LNnvDCQjHKmttSEBsFQ/edit?usp=sharing"",""จัดที่ดิน!AC81"")"),211.23)</f>
        <v>211.23</v>
      </c>
      <c r="K368" s="47">
        <f ca="1">IF(I368&gt;0,J368*100/I368,0)</f>
        <v>183.67826086956521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IFERROR(__xludf.DUMMYFUNCTION("IMPORTRANGE(""https://docs.google.com/spreadsheets/d/1eHaY18a8A9IcSdp1K8H6x8fbOy06t2VsZHhMHf-1x7Y/edit?usp=sharing"",""แผน!EX81"")"),60)</f>
        <v>60</v>
      </c>
      <c r="J369" s="152">
        <f ca="1">IFERROR(__xludf.DUMMYFUNCTION("IMPORTRANGE(""https://docs.google.com/spreadsheets/d/1tdoBKaGub7dwA3U6UFTqxio9LNnvDCQjHKmttSEBsFQ/edit?usp=sharing"",""จัดที่ดิน!AD81"")"),46)</f>
        <v>46</v>
      </c>
      <c r="K369" s="47">
        <f ca="1">IF(I369&gt;0,J369*100/I369,0)</f>
        <v>76.666666666666671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IFERROR(__xludf.DUMMYFUNCTION("IMPORTRANGE(""https://docs.google.com/spreadsheets/d/1tdoBKaGub7dwA3U6UFTqxio9LNnvDCQjHKmttSEBsFQ/edit?usp=sharing"",""จัดที่ดิน!AE81"")"),481.48)</f>
        <v>481.48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IFERROR(__xludf.DUMMYFUNCTION("IMPORTRANGE(""https://docs.google.com/spreadsheets/d/1eHaY18a8A9IcSdp1K8H6x8fbOy06t2VsZHhMHf-1x7Y/edit?usp=sharing"",""แผน!EY81"")"),60)</f>
        <v>60</v>
      </c>
      <c r="J371" s="152">
        <f ca="1">IFERROR(__xludf.DUMMYFUNCTION("IMPORTRANGE(""https://docs.google.com/spreadsheets/d/1tdoBKaGub7dwA3U6UFTqxio9LNnvDCQjHKmttSEBsFQ/edit?usp=sharing"",""จัดที่ดิน!AF81"")"),38)</f>
        <v>38</v>
      </c>
      <c r="K371" s="47">
        <f ca="1">IF(I371&gt;0,J371*100/I371,0)</f>
        <v>63.333333333333336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IFERROR(__xludf.DUMMYFUNCTION("IMPORTRANGE(""https://docs.google.com/spreadsheets/d/1tdoBKaGub7dwA3U6UFTqxio9LNnvDCQjHKmttSEBsFQ/edit?usp=sharing"",""จัดที่ดิน!AG81"")"),403.5)</f>
        <v>403.5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800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50000</v>
      </c>
      <c r="R375" s="132">
        <f ca="1">R376+R377</f>
        <v>41812.5</v>
      </c>
      <c r="S375" s="132">
        <f ca="1">S376+S377</f>
        <v>2480</v>
      </c>
      <c r="T375" s="132">
        <f ca="1">IF(Q375&gt;0,S375*100/Q375,0)</f>
        <v>4.96</v>
      </c>
      <c r="U375" s="132">
        <f ca="1">IF(R375&gt;0,S375*100/R375,0)</f>
        <v>5.9312406576980568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50000</v>
      </c>
      <c r="R377" s="47">
        <f ca="1">R380+R383</f>
        <v>41812.5</v>
      </c>
      <c r="S377" s="47">
        <f ca="1">S380+S383</f>
        <v>2480</v>
      </c>
      <c r="T377" s="47">
        <f ca="1">IF(Q377&gt;0,S377*100/Q377,0)</f>
        <v>4.96</v>
      </c>
      <c r="U377" s="47">
        <f ca="1">IF(R377&gt;0,S377*100/R377,0)</f>
        <v>5.9312406576980568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50000</v>
      </c>
      <c r="R378" s="47">
        <f ca="1">R379+R380</f>
        <v>41812.5</v>
      </c>
      <c r="S378" s="47">
        <f ca="1">S379+S380</f>
        <v>2480</v>
      </c>
      <c r="T378" s="47">
        <f ca="1">IF(Q378&gt;0,S378*100/Q378,0)</f>
        <v>4.96</v>
      </c>
      <c r="U378" s="47">
        <f ca="1">IF(R378&gt;0,S378*100/R378,0)</f>
        <v>5.9312406576980568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IFERROR(__xludf.DUMMYFUNCTION("IMPORTRANGE(""https://docs.google.com/spreadsheets/d/1-uDff_7J0KD5mKrp0Vvzr7lt3OU09vwQwhkpOPPYv2Y/edit?usp=sharing"",""งบพรบ!IE81"")"),45100)</f>
        <v>45100</v>
      </c>
      <c r="M380" s="47">
        <f ca="1">IFERROR(__xludf.DUMMYFUNCTION("IMPORTRANGE(""https://docs.google.com/spreadsheets/d/1-uDff_7J0KD5mKrp0Vvzr7lt3OU09vwQwhkpOPPYv2Y/edit?usp=sharing"",""งบพรบ!IJ81"")"),45100)</f>
        <v>45100</v>
      </c>
      <c r="N380" s="47">
        <f ca="1">IFERROR(__xludf.DUMMYFUNCTION("IMPORTRANGE(""https://docs.google.com/spreadsheets/d/1-uDff_7J0KD5mKrp0Vvzr7lt3OU09vwQwhkpOPPYv2Y/edit?usp=sharing"",""งบพรบ!IL81"")"),0)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IFERROR(__xludf.DUMMYFUNCTION("IMPORTRANGE(""https://docs.google.com/spreadsheets/d/1ItG2mGa2ceCfYo0BwxsXqNm01IGEUdYcSSLTEv9YCik/edit?usp=sharing"",""เบิกจ่ายกองทุน!BX81"")"),41812.5)</f>
        <v>41812.5</v>
      </c>
      <c r="S380" s="47">
        <f ca="1">IFERROR(__xludf.DUMMYFUNCTION("IMPORTRANGE(""https://docs.google.com/spreadsheets/d/1ItG2mGa2ceCfYo0BwxsXqNm01IGEUdYcSSLTEv9YCik/edit?usp=sharing"",""เบิกจ่ายกองทุน!BY81"")"),2480)</f>
        <v>2480</v>
      </c>
      <c r="T380" s="47">
        <f ca="1">IF(Q380&gt;0,S380*100/Q380,0)</f>
        <v>4.96</v>
      </c>
      <c r="U380" s="47">
        <f ca="1">IF(R380&gt;0,S380*100/R380,0)</f>
        <v>5.9312406576980568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IFERROR(__xludf.DUMMYFUNCTION("IMPORTRANGE(""https://docs.google.com/spreadsheets/d/1-uDff_7J0KD5mKrp0Vvzr7lt3OU09vwQwhkpOPPYv2Y/edit?usp=sharing"",""งบพรบ!IH81"")"),0)</f>
        <v>0</v>
      </c>
      <c r="M383" s="47">
        <f ca="1">IFERROR(__xludf.DUMMYFUNCTION("IMPORTRANGE(""https://docs.google.com/spreadsheets/d/1-uDff_7J0KD5mKrp0Vvzr7lt3OU09vwQwhkpOPPYv2Y/edit?usp=sharing"",""งบพรบ!IK81"")"),0)</f>
        <v>0</v>
      </c>
      <c r="N383" s="47">
        <f ca="1">IFERROR(__xludf.DUMMYFUNCTION("IMPORTRANGE(""https://docs.google.com/spreadsheets/d/1-uDff_7J0KD5mKrp0Vvzr7lt3OU09vwQwhkpOPPYv2Y/edit?usp=sharing"",""งบพรบ!IM81"")"),0)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IFERROR(__xludf.DUMMYFUNCTION("IMPORTRANGE(""https://docs.google.com/spreadsheets/d/1w5rwWK1o49a35cNtocGL0gxDwhFSTZUQu90BiH9_zqM/edit?usp=sharing"",""RTK!H81"")"),0)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IFERROR(__xludf.DUMMYFUNCTION("IMPORTRANGE(""https://docs.google.com/spreadsheets/d/1w5rwWK1o49a35cNtocGL0gxDwhFSTZUQu90BiH9_zqM/edit?usp=sharing"",""RTK!G81"")"),800)</f>
        <v>800</v>
      </c>
      <c r="J386" s="152">
        <f ca="1">IFERROR(__xludf.DUMMYFUNCTION("IMPORTRANGE(""https://docs.google.com/spreadsheets/d/1w5rwWK1o49a35cNtocGL0gxDwhFSTZUQu90BiH9_zqM/edit?usp=sharing"",""RTK!I81"")"),0)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IFERROR(__xludf.DUMMYFUNCTION("IMPORTRANGE(""https://docs.google.com/spreadsheets/d/1w5rwWK1o49a35cNtocGL0gxDwhFSTZUQu90BiH9_zqM/edit?usp=sharing"",""RTK!L81"")"),0)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IFERROR(__xludf.DUMMYFUNCTION("IMPORTRANGE(""https://docs.google.com/spreadsheets/d/1w5rwWK1o49a35cNtocGL0gxDwhFSTZUQu90BiH9_zqM/edit?usp=sharing"",""RTK!K81"")"),0)</f>
        <v>0</v>
      </c>
      <c r="J388" s="330">
        <f ca="1">IFERROR(__xludf.DUMMYFUNCTION("IMPORTRANGE(""https://docs.google.com/spreadsheets/d/1w5rwWK1o49a35cNtocGL0gxDwhFSTZUQu90BiH9_zqM/edit?usp=sharing"",""RTK!M81"")"),0)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IFERROR(__xludf.DUMMYFUNCTION("IMPORTRANGE(""https://docs.google.com/spreadsheets/d/1ItG2mGa2ceCfYo0BwxsXqNm01IGEUdYcSSLTEv9YCik/edit?usp=sharing"",""เบิกจ่ายกองทุน!CL81"")"),0)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IFERROR(__xludf.DUMMYFUNCTION("IMPORTRANGE(""https://docs.google.com/spreadsheets/d/1ItG2mGa2ceCfYo0BwxsXqNm01IGEUdYcSSLTEv9YCik/edit?usp=sharing"",""เบิกจ่ายกองทุน!CM81"")"),0)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IFERROR(__xludf.DUMMYFUNCTION("IMPORTRANGE(""https://docs.google.com/spreadsheets/d/1ItG2mGa2ceCfYo0BwxsXqNm01IGEUdYcSSLTEv9YCik/edit?usp=sharing"",""เบิกจ่ายกองทุน!CN81"")"),0)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21550</v>
      </c>
      <c r="M413" s="132">
        <f ca="1">M414+M415</f>
        <v>21550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15200</v>
      </c>
      <c r="R413" s="132">
        <f ca="1">R414+R415</f>
        <v>15200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21550</v>
      </c>
      <c r="M415" s="47">
        <f ca="1">M418+M421</f>
        <v>21550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15200</v>
      </c>
      <c r="R415" s="47">
        <f ca="1">R418+R421</f>
        <v>15200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21550</v>
      </c>
      <c r="M416" s="47">
        <f ca="1">M417+M418</f>
        <v>21550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15200</v>
      </c>
      <c r="R416" s="47">
        <f ca="1">R417+R418</f>
        <v>15200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IFERROR(__xludf.DUMMYFUNCTION("IMPORTRANGE(""https://docs.google.com/spreadsheets/d/1-uDff_7J0KD5mKrp0Vvzr7lt3OU09vwQwhkpOPPYv2Y/edit?usp=sharing"",""งบพรบ!IO81"")"),21550)</f>
        <v>21550</v>
      </c>
      <c r="M418" s="47">
        <f ca="1">IFERROR(__xludf.DUMMYFUNCTION("IMPORTRANGE(""https://docs.google.com/spreadsheets/d/1-uDff_7J0KD5mKrp0Vvzr7lt3OU09vwQwhkpOPPYv2Y/edit?usp=sharing"",""งบพรบ!IT81"")"),21550)</f>
        <v>21550</v>
      </c>
      <c r="N418" s="47">
        <f ca="1">IFERROR(__xludf.DUMMYFUNCTION("IMPORTRANGE(""https://docs.google.com/spreadsheets/d/1-uDff_7J0KD5mKrp0Vvzr7lt3OU09vwQwhkpOPPYv2Y/edit?usp=sharing"",""งบพรบ!IV81"")"),0)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IFERROR(__xludf.DUMMYFUNCTION("IMPORTRANGE(""https://docs.google.com/spreadsheets/d/1ItG2mGa2ceCfYo0BwxsXqNm01IGEUdYcSSLTEv9YCik/edit?usp=sharing"",""เบิกจ่ายกองทุน!BZ81"")"),15200)</f>
        <v>15200</v>
      </c>
      <c r="R418" s="47">
        <f ca="1">IFERROR(__xludf.DUMMYFUNCTION("IMPORTRANGE(""https://docs.google.com/spreadsheets/d/1ItG2mGa2ceCfYo0BwxsXqNm01IGEUdYcSSLTEv9YCik/edit?usp=sharing"",""เบิกจ่ายกองทุน!CA81"")"),15200)</f>
        <v>15200</v>
      </c>
      <c r="S418" s="47">
        <f ca="1">IFERROR(__xludf.DUMMYFUNCTION("IMPORTRANGE(""https://docs.google.com/spreadsheets/d/1ItG2mGa2ceCfYo0BwxsXqNm01IGEUdYcSSLTEv9YCik/edit?usp=sharing"",""เบิกจ่ายกองทุน!CB81"")"),0)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IFERROR(__xludf.DUMMYFUNCTION("IMPORTRANGE(""https://docs.google.com/spreadsheets/d/1-uDff_7J0KD5mKrp0Vvzr7lt3OU09vwQwhkpOPPYv2Y/edit?usp=sharing"",""งบพรบ!IR81"")"),0)</f>
        <v>0</v>
      </c>
      <c r="M421" s="47">
        <f ca="1">IFERROR(__xludf.DUMMYFUNCTION("IMPORTRANGE(""https://docs.google.com/spreadsheets/d/1-uDff_7J0KD5mKrp0Vvzr7lt3OU09vwQwhkpOPPYv2Y/edit?usp=sharing"",""งบพรบ!IU81"")"),0)</f>
        <v>0</v>
      </c>
      <c r="N421" s="47">
        <f ca="1">IFERROR(__xludf.DUMMYFUNCTION("IMPORTRANGE(""https://docs.google.com/spreadsheets/d/1-uDff_7J0KD5mKrp0Vvzr7lt3OU09vwQwhkpOPPYv2Y/edit?usp=sharing"",""งบพรบ!IW81"")"),0)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IFERROR(__xludf.DUMMYFUNCTION("IMPORTRANGE(""https://docs.google.com/spreadsheets/d/1eHaY18a8A9IcSdp1K8H6x8fbOy06t2VsZHhMHf-1x7Y/edit?usp=sharing"",""แผน!HJ81"")"),0)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IFERROR(__xludf.DUMMYFUNCTION("IMPORTRANGE(""https://docs.google.com/spreadsheets/d/1eHaY18a8A9IcSdp1K8H6x8fbOy06t2VsZHhMHf-1x7Y/edit?usp=sharing"",""แผน!HK81"")"),0)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IFERROR(__xludf.DUMMYFUNCTION("IMPORTRANGE(""https://docs.google.com/spreadsheets/d/1eHaY18a8A9IcSdp1K8H6x8fbOy06t2VsZHhMHf-1x7Y/edit?usp=sharing"",""แผน!HJ81"")"),0)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IFERROR(__xludf.DUMMYFUNCTION("IMPORTRANGE(""https://docs.google.com/spreadsheets/d/1eHaY18a8A9IcSdp1K8H6x8fbOy06t2VsZHhMHf-1x7Y/edit?usp=sharing"",""แผน!HK81"")"),0)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IFERROR(__xludf.DUMMYFUNCTION("IMPORTRANGE(""https://docs.google.com/spreadsheets/d/1eHaY18a8A9IcSdp1K8H6x8fbOy06t2VsZHhMHf-1x7Y/edit?usp=sharing"",""แผน!HJ81"")"),0)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IFERROR(__xludf.DUMMYFUNCTION("IMPORTRANGE(""https://docs.google.com/spreadsheets/d/1eHaY18a8A9IcSdp1K8H6x8fbOy06t2VsZHhMHf-1x7Y/edit?usp=sharing"",""แผน!HK81"")"),0)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25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IFERROR(__xludf.DUMMYFUNCTION("IMPORTRANGE(""https://docs.google.com/spreadsheets/d/1eHaY18a8A9IcSdp1K8H6x8fbOy06t2VsZHhMHf-1x7Y/edit?usp=sharing"",""แผน!HL81"")"),25)</f>
        <v>25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IFERROR(__xludf.DUMMYFUNCTION("IMPORTRANGE(""https://docs.google.com/spreadsheets/d/1eHaY18a8A9IcSdp1K8H6x8fbOy06t2VsZHhMHf-1x7Y/edit?usp=sharing"",""แผน!HM81"")"),0)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IFERROR(__xludf.DUMMYFUNCTION("IMPORTRANGE(""https://docs.google.com/spreadsheets/d/1-uDff_7J0KD5mKrp0Vvzr7lt3OU09vwQwhkpOPPYv2Y/edit?usp=sharing"",""งบพรบ!HU81"")"),0)</f>
        <v>0</v>
      </c>
      <c r="M498" s="47">
        <f ca="1">IFERROR(__xludf.DUMMYFUNCTION("IMPORTRANGE(""https://docs.google.com/spreadsheets/d/1-uDff_7J0KD5mKrp0Vvzr7lt3OU09vwQwhkpOPPYv2Y/edit?usp=sharing"",""งบพรบ!HZ81"")"),0)</f>
        <v>0</v>
      </c>
      <c r="N498" s="47">
        <f ca="1">IFERROR(__xludf.DUMMYFUNCTION("IMPORTRANGE(""https://docs.google.com/spreadsheets/d/1-uDff_7J0KD5mKrp0Vvzr7lt3OU09vwQwhkpOPPYv2Y/edit?usp=sharing"",""งบพรบ!IB81"")"),0)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IFERROR(__xludf.DUMMYFUNCTION("IMPORTRANGE(""https://docs.google.com/spreadsheets/d/1ItG2mGa2ceCfYo0BwxsXqNm01IGEUdYcSSLTEv9YCik/edit?usp=sharing"",""เบิกจ่ายกองทุน!AF81"")"),0)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IFERROR(__xludf.DUMMYFUNCTION("IMPORTRANGE(""https://docs.google.com/spreadsheets/d/1-uDff_7J0KD5mKrp0Vvzr7lt3OU09vwQwhkpOPPYv2Y/edit?usp=sharing"",""งบพรบ!HX81"")"),0)</f>
        <v>0</v>
      </c>
      <c r="M501" s="47">
        <f ca="1">IFERROR(__xludf.DUMMYFUNCTION("IMPORTRANGE(""https://docs.google.com/spreadsheets/d/1-uDff_7J0KD5mKrp0Vvzr7lt3OU09vwQwhkpOPPYv2Y/edit?usp=sharing"",""งบพรบ!IA81"")"),0)</f>
        <v>0</v>
      </c>
      <c r="N501" s="47">
        <f ca="1">IFERROR(__xludf.DUMMYFUNCTION("IMPORTRANGE(""https://docs.google.com/spreadsheets/d/1-uDff_7J0KD5mKrp0Vvzr7lt3OU09vwQwhkpOPPYv2Y/edit?usp=sharing"",""งบพรบ!IC81"")"),0)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IFERROR(__xludf.DUMMYFUNCTION("IMPORTRANGE(""https://docs.google.com/spreadsheets/d/1eHaY18a8A9IcSdp1K8H6x8fbOy06t2VsZHhMHf-1x7Y/edit?usp=sharing"",""แผน!GX81"")"),0)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IFERROR(__xludf.DUMMYFUNCTION("IMPORTRANGE(""https://docs.google.com/spreadsheets/d/1eHaY18a8A9IcSdp1K8H6x8fbOy06t2VsZHhMHf-1x7Y/edit?usp=sharing"",""แผน!GY81"")"),0)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IFERROR(__xludf.DUMMYFUNCTION("IMPORTRANGE(""https://docs.google.com/spreadsheets/d/1eHaY18a8A9IcSdp1K8H6x8fbOy06t2VsZHhMHf-1x7Y/edit?usp=sharing"",""แผน!GZ81"")"),0)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IFERROR(__xludf.DUMMYFUNCTION("IMPORTRANGE(""https://docs.google.com/spreadsheets/d/1eHaY18a8A9IcSdp1K8H6x8fbOy06t2VsZHhMHf-1x7Y/edit?usp=sharing"",""แผน!HA81"")"),0)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IFERROR(__xludf.DUMMYFUNCTION("IMPORTRANGE(""https://docs.google.com/spreadsheets/d/1eHaY18a8A9IcSdp1K8H6x8fbOy06t2VsZHhMHf-1x7Y/edit?usp=sharing"",""แผน!HB81"")"),0)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IFERROR(__xludf.DUMMYFUNCTION("IMPORTRANGE(""https://docs.google.com/spreadsheets/d/1eHaY18a8A9IcSdp1K8H6x8fbOy06t2VsZHhMHf-1x7Y/edit?usp=sharing"",""แผน!HC81"")"),0)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IFERROR(__xludf.DUMMYFUNCTION("IMPORTRANGE(""https://docs.google.com/spreadsheets/d/1-uDff_7J0KD5mKrp0Vvzr7lt3OU09vwQwhkpOPPYv2Y/edit?usp=sharing"",""งบพรบ!FW81"")"),0)</f>
        <v>0</v>
      </c>
      <c r="M539" s="47">
        <f ca="1">IFERROR(__xludf.DUMMYFUNCTION("IMPORTRANGE(""https://docs.google.com/spreadsheets/d/1-uDff_7J0KD5mKrp0Vvzr7lt3OU09vwQwhkpOPPYv2Y/edit?usp=sharing"",""งบพรบ!GB81"")"),0)</f>
        <v>0</v>
      </c>
      <c r="N539" s="47">
        <f ca="1">IFERROR(__xludf.DUMMYFUNCTION("IMPORTRANGE(""https://docs.google.com/spreadsheets/d/1-uDff_7J0KD5mKrp0Vvzr7lt3OU09vwQwhkpOPPYv2Y/edit?usp=sharing"",""งบพรบ!GD81"")"),0)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IFERROR(__xludf.DUMMYFUNCTION("IMPORTRANGE(""https://docs.google.com/spreadsheets/d/1-uDff_7J0KD5mKrp0Vvzr7lt3OU09vwQwhkpOPPYv2Y/edit?usp=sharing"",""งบพรบ!FZ81"")"),0)</f>
        <v>0</v>
      </c>
      <c r="M542" s="47">
        <f ca="1">IFERROR(__xludf.DUMMYFUNCTION("IMPORTRANGE(""https://docs.google.com/spreadsheets/d/1-uDff_7J0KD5mKrp0Vvzr7lt3OU09vwQwhkpOPPYv2Y/edit?usp=sharing"",""งบพรบ!GC81"")"),0)</f>
        <v>0</v>
      </c>
      <c r="N542" s="47">
        <f ca="1">IFERROR(__xludf.DUMMYFUNCTION("IMPORTRANGE(""https://docs.google.com/spreadsheets/d/1-uDff_7J0KD5mKrp0Vvzr7lt3OU09vwQwhkpOPPYv2Y/edit?usp=sharing"",""งบพรบ!GE81"")"),0)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IFERROR(__xludf.DUMMYFUNCTION("IMPORTRANGE(""https://docs.google.com/spreadsheets/d/1-uDff_7J0KD5mKrp0Vvzr7lt3OU09vwQwhkpOPPYv2Y/edit?usp=sharing"",""งบพรบ!GG81"")"),0)</f>
        <v>0</v>
      </c>
      <c r="M560" s="47">
        <f ca="1">IFERROR(__xludf.DUMMYFUNCTION("IMPORTRANGE(""https://docs.google.com/spreadsheets/d/1-uDff_7J0KD5mKrp0Vvzr7lt3OU09vwQwhkpOPPYv2Y/edit?usp=sharing"",""งบพรบ!GL81"")"),0)</f>
        <v>0</v>
      </c>
      <c r="N560" s="47">
        <f ca="1">IFERROR(__xludf.DUMMYFUNCTION("IMPORTRANGE(""https://docs.google.com/spreadsheets/d/1-uDff_7J0KD5mKrp0Vvzr7lt3OU09vwQwhkpOPPYv2Y/edit?usp=sharing"",""งบพรบ!GN81"")"),0)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IFERROR(__xludf.DUMMYFUNCTION("IMPORTRANGE(""https://docs.google.com/spreadsheets/d/1-uDff_7J0KD5mKrp0Vvzr7lt3OU09vwQwhkpOPPYv2Y/edit?usp=sharing"",""งบพรบ!GJ81"")"),0)</f>
        <v>0</v>
      </c>
      <c r="M563" s="47">
        <f ca="1">IFERROR(__xludf.DUMMYFUNCTION("IMPORTRANGE(""https://docs.google.com/spreadsheets/d/1-uDff_7J0KD5mKrp0Vvzr7lt3OU09vwQwhkpOPPYv2Y/edit?usp=sharing"",""งบพรบ!GM81"")"),0)</f>
        <v>0</v>
      </c>
      <c r="N563" s="47">
        <f ca="1">IFERROR(__xludf.DUMMYFUNCTION("IMPORTRANGE(""https://docs.google.com/spreadsheets/d/1-uDff_7J0KD5mKrp0Vvzr7lt3OU09vwQwhkpOPPYv2Y/edit?usp=sharing"",""งบพรบ!GO81"")"),0)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IFERROR(__xludf.DUMMYFUNCTION("IMPORTRANGE(""https://docs.google.com/spreadsheets/d/1-uDff_7J0KD5mKrp0Vvzr7lt3OU09vwQwhkpOPPYv2Y/edit?usp=sharing"",""งบพรบ!GQ81"")"),0)</f>
        <v>0</v>
      </c>
      <c r="M581" s="47">
        <f ca="1">IFERROR(__xludf.DUMMYFUNCTION("IMPORTRANGE(""https://docs.google.com/spreadsheets/d/1-uDff_7J0KD5mKrp0Vvzr7lt3OU09vwQwhkpOPPYv2Y/edit?usp=sharing"",""งบพรบ!GV81"")"),0)</f>
        <v>0</v>
      </c>
      <c r="N581" s="47">
        <f ca="1">IFERROR(__xludf.DUMMYFUNCTION("IMPORTRANGE(""https://docs.google.com/spreadsheets/d/1-uDff_7J0KD5mKrp0Vvzr7lt3OU09vwQwhkpOPPYv2Y/edit?usp=sharing"",""งบพรบ!GX81"")"),0)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IFERROR(__xludf.DUMMYFUNCTION("IMPORTRANGE(""https://docs.google.com/spreadsheets/d/1-uDff_7J0KD5mKrp0Vvzr7lt3OU09vwQwhkpOPPYv2Y/edit?usp=sharing"",""งบพรบ!GT81"")"),0)</f>
        <v>0</v>
      </c>
      <c r="M584" s="47">
        <f ca="1">IFERROR(__xludf.DUMMYFUNCTION("IMPORTRANGE(""https://docs.google.com/spreadsheets/d/1-uDff_7J0KD5mKrp0Vvzr7lt3OU09vwQwhkpOPPYv2Y/edit?usp=sharing"",""งบพรบ!GW81"")"),0)</f>
        <v>0</v>
      </c>
      <c r="N584" s="47">
        <f ca="1">IFERROR(__xludf.DUMMYFUNCTION("IMPORTRANGE(""https://docs.google.com/spreadsheets/d/1-uDff_7J0KD5mKrp0Vvzr7lt3OU09vwQwhkpOPPYv2Y/edit?usp=sharing"",""งบพรบ!GY81"")"),0)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IFERROR(__xludf.DUMMYFUNCTION("IMPORTRANGE(""https://docs.google.com/spreadsheets/d/1-uDff_7J0KD5mKrp0Vvzr7lt3OU09vwQwhkpOPPYv2Y/edit?usp=sharing"",""งบพรบ!HK81"")"),0)</f>
        <v>0</v>
      </c>
      <c r="M604" s="47">
        <f ca="1">IFERROR(__xludf.DUMMYFUNCTION("IMPORTRANGE(""https://docs.google.com/spreadsheets/d/1-uDff_7J0KD5mKrp0Vvzr7lt3OU09vwQwhkpOPPYv2Y/edit?usp=sharing"",""งบพรบ!HP81"")"),0)</f>
        <v>0</v>
      </c>
      <c r="N604" s="47">
        <f ca="1">IFERROR(__xludf.DUMMYFUNCTION("IMPORTRANGE(""https://docs.google.com/spreadsheets/d/1-uDff_7J0KD5mKrp0Vvzr7lt3OU09vwQwhkpOPPYv2Y/edit?usp=sharing"",""งบพรบ!HR81"")"),0)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IFERROR(__xludf.DUMMYFUNCTION("IMPORTRANGE(""https://docs.google.com/spreadsheets/d/1ItG2mGa2ceCfYo0BwxsXqNm01IGEUdYcSSLTEv9YCik/edit?usp=sharing"",""เบิกจ่ายกองทุน!AV81"")"),0)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IFERROR(__xludf.DUMMYFUNCTION("IMPORTRANGE(""https://docs.google.com/spreadsheets/d/1ItG2mGa2ceCfYo0BwxsXqNm01IGEUdYcSSLTEv9YCik/edit?usp=sharing"",""เบิกจ่ายกองทุน!AW81"")"),0)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IFERROR(__xludf.DUMMYFUNCTION("IMPORTRANGE(""https://docs.google.com/spreadsheets/d/1ItG2mGa2ceCfYo0BwxsXqNm01IGEUdYcSSLTEv9YCik/edit?usp=sharing"",""เบิกจ่ายกองทุน!AX81"")"),0)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IFERROR(__xludf.DUMMYFUNCTION("IMPORTRANGE(""https://docs.google.com/spreadsheets/d/1-uDff_7J0KD5mKrp0Vvzr7lt3OU09vwQwhkpOPPYv2Y/edit?usp=sharing"",""งบพรบ!HN81"")"),0)</f>
        <v>0</v>
      </c>
      <c r="M607" s="47">
        <f ca="1">IFERROR(__xludf.DUMMYFUNCTION("IMPORTRANGE(""https://docs.google.com/spreadsheets/d/1-uDff_7J0KD5mKrp0Vvzr7lt3OU09vwQwhkpOPPYv2Y/edit?usp=sharing"",""งบพรบ!HQ81"")"),0)</f>
        <v>0</v>
      </c>
      <c r="N607" s="47">
        <f ca="1">IFERROR(__xludf.DUMMYFUNCTION("IMPORTRANGE(""https://docs.google.com/spreadsheets/d/1-uDff_7J0KD5mKrp0Vvzr7lt3OU09vwQwhkpOPPYv2Y/edit?usp=sharing"",""งบพรบ!HS81"")"),0)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IFERROR(__xludf.DUMMYFUNCTION("IMPORTRANGE(""https://docs.google.com/spreadsheets/d/1ItG2mGa2ceCfYo0BwxsXqNm01IGEUdYcSSLTEv9YCik/edit?usp=sharing"",""เบิกจ่ายกองทุน!AY81"")"),0)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IFERROR(__xludf.DUMMYFUNCTION("IMPORTRANGE(""https://docs.google.com/spreadsheets/d/1ItG2mGa2ceCfYo0BwxsXqNm01IGEUdYcSSLTEv9YCik/edit?usp=sharing"",""เบิกจ่ายกองทุน!AZ81"")"),0)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IFERROR(__xludf.DUMMYFUNCTION("IMPORTRANGE(""https://docs.google.com/spreadsheets/d/1ItG2mGa2ceCfYo0BwxsXqNm01IGEUdYcSSLTEv9YCik/edit?usp=sharing"",""เบิกจ่ายกองทุน!BA81"")"),0)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600</v>
      </c>
      <c r="T616" s="132">
        <f ca="1">IF(Q616&gt;0,S616*100/Q616,0)</f>
        <v>8.2191780821917817</v>
      </c>
      <c r="U616" s="132">
        <f ca="1">IF(R616&gt;0,S616*100/R616,0)</f>
        <v>8.2191780821917817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600</v>
      </c>
      <c r="T618" s="47">
        <f ca="1">IF(Q618&gt;0,S618*100/Q618,0)</f>
        <v>8.2191780821917817</v>
      </c>
      <c r="U618" s="47">
        <f ca="1">IF(R618&gt;0,S618*100/R618,0)</f>
        <v>8.2191780821917817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600</v>
      </c>
      <c r="T619" s="47">
        <f ca="1">IF(Q619&gt;0,S619*100/Q619,0)</f>
        <v>8.2191780821917817</v>
      </c>
      <c r="U619" s="47">
        <f ca="1">IF(R619&gt;0,S619*100/R619,0)</f>
        <v>8.2191780821917817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ca="1">IF(Q621&gt;0,S621*100/Q621,0)</f>
        <v>8.2191780821917817</v>
      </c>
      <c r="U621" s="47">
        <f ca="1">IF(R621&gt;0,S621*100/R621,0)</f>
        <v>8.2191780821917817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IFERROR(__xludf.DUMMYFUNCTION("IMPORTRANGE(""https://docs.google.com/spreadsheets/d/1eHaY18a8A9IcSdp1K8H6x8fbOy06t2VsZHhMHf-1x7Y/edit?usp=sharing"",""แผน!ID81"")"),50)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IFERROR(__xludf.DUMMYFUNCTION("IMPORTRANGE(""https://docs.google.com/spreadsheets/d/1eHaY18a8A9IcSdp1K8H6x8fbOy06t2VsZHhMHf-1x7Y/edit?usp=sharing"",""แผน!IC81"")"),1)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IFERROR(__xludf.DUMMYFUNCTION("IMPORTRANGE(""https://docs.google.com/spreadsheets/d/1eHaY18a8A9IcSdp1K8H6x8fbOy06t2VsZHhMHf-1x7Y/edit?usp=sharing"",""แผน!IE81"")"),0)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IFERROR(__xludf.DUMMYFUNCTION("IMPORTRANGE(""https://docs.google.com/spreadsheets/d/1eHaY18a8A9IcSdp1K8H6x8fbOy06t2VsZHhMHf-1x7Y/edit?usp=sharing"",""แผน!IF81"")"),0)</f>
        <v>0</v>
      </c>
      <c r="J652" s="15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IFERROR(__xludf.DUMMYFUNCTION("IMPORTRANGE(""https://docs.google.com/spreadsheets/d/1eHaY18a8A9IcSdp1K8H6x8fbOy06t2VsZHhMHf-1x7Y/edit?usp=sharing"",""แผน!IG81"")"),0)</f>
        <v>0</v>
      </c>
      <c r="J653" s="15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IFERROR(__xludf.DUMMYFUNCTION("IMPORTRANGE(""https://docs.google.com/spreadsheets/d/1eHaY18a8A9IcSdp1K8H6x8fbOy06t2VsZHhMHf-1x7Y/edit?usp=sharing"",""แผน!IH81"")"),0)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IFERROR(__xludf.DUMMYFUNCTION("IMPORTRANGE(""https://docs.google.com/spreadsheets/d/1eHaY18a8A9IcSdp1K8H6x8fbOy06t2VsZHhMHf-1x7Y/edit?usp=sharing"",""แผน!II81"")"),0)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IFERROR(__xludf.DUMMYFUNCTION("IMPORTRANGE(""https://docs.google.com/spreadsheets/d/1eHaY18a8A9IcSdp1K8H6x8fbOy06t2VsZHhMHf-1x7Y/edit?usp=sharing"",""แผน!IJ81"")"),0)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IFERROR(__xludf.DUMMYFUNCTION("IMPORTRANGE(""https://docs.google.com/spreadsheets/d/1eHaY18a8A9IcSdp1K8H6x8fbOy06t2VsZHhMHf-1x7Y/edit?usp=sharing"",""แผน!IK81"")"),0)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IFERROR(__xludf.DUMMYFUNCTION("IMPORTRANGE(""https://docs.google.com/spreadsheets/d/1eHaY18a8A9IcSdp1K8H6x8fbOy06t2VsZHhMHf-1x7Y/edit?usp=sharing"",""แผน!IL81"")"),0)</f>
        <v>0</v>
      </c>
      <c r="J673" s="15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IFERROR(__xludf.DUMMYFUNCTION("IMPORTRANGE(""https://docs.google.com/spreadsheets/d/1eHaY18a8A9IcSdp1K8H6x8fbOy06t2VsZHhMHf-1x7Y/edit?usp=sharing"",""แผน!IM81"")"),0)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IFERROR(__xludf.DUMMYFUNCTION("IMPORTRANGE(""https://docs.google.com/spreadsheets/d/1eHaY18a8A9IcSdp1K8H6x8fbOy06t2VsZHhMHf-1x7Y/edit?usp=sharing"",""แผน!IN81"")"),0)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IFERROR(__xludf.DUMMYFUNCTION("IMPORTRANGE(""https://docs.google.com/spreadsheets/d/1eHaY18a8A9IcSdp1K8H6x8fbOy06t2VsZHhMHf-1x7Y/edit?usp=sharing"",""แผน!IO81"")"),0)</f>
        <v>0</v>
      </c>
      <c r="J676" s="15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IFERROR(__xludf.DUMMYFUNCTION("IMPORTRANGE(""https://docs.google.com/spreadsheets/d/1eHaY18a8A9IcSdp1K8H6x8fbOy06t2VsZHhMHf-1x7Y/edit?usp=sharing"",""แผน!IP81"")"),0)</f>
        <v>0</v>
      </c>
      <c r="J678" s="15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IFERROR(__xludf.DUMMYFUNCTION("IMPORTRANGE(""https://docs.google.com/spreadsheets/d/1eHaY18a8A9IcSdp1K8H6x8fbOy06t2VsZHhMHf-1x7Y/edit?usp=sharing"",""แผน!IQ81"")"),0)</f>
        <v>0</v>
      </c>
      <c r="J679" s="15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IFERROR(__xludf.DUMMYFUNCTION("IMPORTRANGE(""https://docs.google.com/spreadsheets/d/1eHaY18a8A9IcSdp1K8H6x8fbOy06t2VsZHhMHf-1x7Y/edit?usp=sharing"",""แผน!IR81"")"),0)</f>
        <v>0</v>
      </c>
      <c r="J681" s="15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IFERROR(__xludf.DUMMYFUNCTION("IMPORTRANGE(""https://docs.google.com/spreadsheets/d/1eHaY18a8A9IcSdp1K8H6x8fbOy06t2VsZHhMHf-1x7Y/edit?usp=sharing"",""แผน!IS81"")"),0)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IFERROR(__xludf.DUMMYFUNCTION("IMPORTRANGE(""https://docs.google.com/spreadsheets/d/1eHaY18a8A9IcSdp1K8H6x8fbOy06t2VsZHhMHf-1x7Y/edit?usp=sharing"",""แผน!LC81"")"),0)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IFERROR(__xludf.DUMMYFUNCTION("IMPORTRANGE(""https://docs.google.com/spreadsheets/d/1eHaY18a8A9IcSdp1K8H6x8fbOy06t2VsZHhMHf-1x7Y/edit?usp=sharing"",""แผน!LJ81"")"),0)</f>
        <v>0</v>
      </c>
      <c r="J703" s="15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IFERROR(__xludf.DUMMYFUNCTION("IMPORTRANGE(""https://docs.google.com/spreadsheets/d/1eHaY18a8A9IcSdp1K8H6x8fbOy06t2VsZHhMHf-1x7Y/edit?usp=sharing"",""แผน!LK81"")"),0)</f>
        <v>0</v>
      </c>
      <c r="J705" s="152">
        <f ca="1">IFERROR(__xludf.DUMMYFUNCTION("IMPORTRANGE(""https://docs.google.com/spreadsheets/d/1tdoBKaGub7dwA3U6UFTqxio9LNnvDCQjHKmttSEBsFQ/edit?usp=sharing"",""จัดที่ดิน!AR81"")"),0)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IFERROR(__xludf.DUMMYFUNCTION("IMPORTRANGE(""https://docs.google.com/spreadsheets/d/1eHaY18a8A9IcSdp1K8H6x8fbOy06t2VsZHhMHf-1x7Y/edit?usp=sharing"",""แผน!LJ81"")"),0)</f>
        <v>0</v>
      </c>
      <c r="J707" s="15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IFERROR(__xludf.DUMMYFUNCTION("IMPORTRANGE(""https://docs.google.com/spreadsheets/d/1eHaY18a8A9IcSdp1K8H6x8fbOy06t2VsZHhMHf-1x7Y/edit?usp=sharing"",""แผน!LK81"")"),0)</f>
        <v>0</v>
      </c>
      <c r="J709" s="15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IFERROR(__xludf.DUMMYFUNCTION("IMPORTRANGE(""https://docs.google.com/spreadsheets/d/1eHaY18a8A9IcSdp1K8H6x8fbOy06t2VsZHhMHf-1x7Y/edit?usp=sharing"",""แผน!GA81"")"),16)</f>
        <v>16</v>
      </c>
      <c r="J726" s="483">
        <f>J742+J746+J749</f>
        <v>15</v>
      </c>
      <c r="K726" s="484">
        <f ca="1">IF(I726&gt;0,J726*100/I726,0)</f>
        <v>93.75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IFERROR(__xludf.DUMMYFUNCTION("IMPORTRANGE(""https://docs.google.com/spreadsheets/d/1eHaY18a8A9IcSdp1K8H6x8fbOy06t2VsZHhMHf-1x7Y/edit?usp=sharing"",""แผน!FZ81"")"),150)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143438</v>
      </c>
      <c r="S728" s="132">
        <f ca="1">S729+S730</f>
        <v>43510</v>
      </c>
      <c r="T728" s="132">
        <f ca="1">IF(Q728&gt;0,S728*100/Q728,0)</f>
        <v>30.33366332492087</v>
      </c>
      <c r="U728" s="132">
        <f ca="1">IF(R728&gt;0,S728*100/R728,0)</f>
        <v>30.33366332492087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143438</v>
      </c>
      <c r="S730" s="47">
        <f ca="1">S733+S736</f>
        <v>43510</v>
      </c>
      <c r="T730" s="47">
        <f ca="1">IF(Q730&gt;0,S730*100/Q730,0)</f>
        <v>30.33366332492087</v>
      </c>
      <c r="U730" s="47">
        <f ca="1">IF(R730&gt;0,S730*100/R730,0)</f>
        <v>30.33366332492087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143438</v>
      </c>
      <c r="S731" s="47">
        <f ca="1">S732+S733</f>
        <v>43510</v>
      </c>
      <c r="T731" s="47">
        <f ca="1">IF(Q731&gt;0,S731*100/Q731,0)</f>
        <v>30.33366332492087</v>
      </c>
      <c r="U731" s="47">
        <f ca="1">IF(R731&gt;0,S731*100/R731,0)</f>
        <v>30.33366332492087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3" s="47">
        <f ca="1">IFERROR(__xludf.DUMMYFUNCTION("IMPORTRANGE(""https://docs.google.com/spreadsheets/d/1ItG2mGa2ceCfYo0BwxsXqNm01IGEUdYcSSLTEv9YCik/edit?usp=sharing"",""เบิกจ่ายกองทุน!Q81"")"),43510)</f>
        <v>43510</v>
      </c>
      <c r="T733" s="47">
        <f ca="1">IF(Q733&gt;0,S733*100/Q733,0)</f>
        <v>30.33366332492087</v>
      </c>
      <c r="U733" s="47">
        <f ca="1">IF(R733&gt;0,S733*100/R733,0)</f>
        <v>30.33366332492087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IFERROR(__xludf.DUMMYFUNCTION("IMPORTRANGE(""https://docs.google.com/spreadsheets/d/1eHaY18a8A9IcSdp1K8H6x8fbOy06t2VsZHhMHf-1x7Y/edit?usp=sharing"",""แผน!GB81"")"),120)</f>
        <v>120</v>
      </c>
      <c r="J740" s="167">
        <v>0</v>
      </c>
      <c r="K740" s="47">
        <f ca="1">IF(I740&gt;0,J740*100/I740,0)</f>
        <v>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IFERROR(__xludf.DUMMYFUNCTION("IMPORTRANGE(""https://docs.google.com/spreadsheets/d/1eHaY18a8A9IcSdp1K8H6x8fbOy06t2VsZHhMHf-1x7Y/edit?usp=sharing"",""แผน!GC81"")"),12)</f>
        <v>12</v>
      </c>
      <c r="J742" s="554">
        <v>12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IFERROR(__xludf.DUMMYFUNCTION("IMPORTRANGE(""https://docs.google.com/spreadsheets/d/1eHaY18a8A9IcSdp1K8H6x8fbOy06t2VsZHhMHf-1x7Y/edit?usp=sharing"",""แผน!GD81"")"),30)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IFERROR(__xludf.DUMMYFUNCTION("IMPORTRANGE(""https://docs.google.com/spreadsheets/d/1eHaY18a8A9IcSdp1K8H6x8fbOy06t2VsZHhMHf-1x7Y/edit?usp=sharing"",""แผน!GE81"")"),3)</f>
        <v>3</v>
      </c>
      <c r="J746" s="554">
        <v>3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IFERROR(__xludf.DUMMYFUNCTION("IMPORTRANGE(""https://docs.google.com/spreadsheets/d/1eHaY18a8A9IcSdp1K8H6x8fbOy06t2VsZHhMHf-1x7Y/edit?usp=sharing"",""แผน!GF81"")"),1)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IFERROR(__xludf.DUMMYFUNCTION("IMPORTRANGE(""https://docs.google.com/spreadsheets/d/1eHaY18a8A9IcSdp1K8H6x8fbOy06t2VsZHhMHf-1x7Y/edit?usp=sharing"",""แผน!GB81"")"),120)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IFERROR(__xludf.DUMMYFUNCTION("IMPORTRANGE(""https://docs.google.com/spreadsheets/d/1eHaY18a8A9IcSdp1K8H6x8fbOy06t2VsZHhMHf-1x7Y/edit?usp=sharing"",""แผน!GD81"")"),30)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60</v>
      </c>
      <c r="J759" s="483">
        <f>J774</f>
        <v>60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160660</v>
      </c>
      <c r="R760" s="132">
        <f ca="1">R761+R762</f>
        <v>160660</v>
      </c>
      <c r="S760" s="132">
        <f ca="1">S761+S762</f>
        <v>73735</v>
      </c>
      <c r="T760" s="132">
        <f ca="1">IF(Q760&gt;0,S760*100/Q760,0)</f>
        <v>45.895057886219348</v>
      </c>
      <c r="U760" s="132">
        <f ca="1">IF(R760&gt;0,S760*100/R760,0)</f>
        <v>45.895057886219348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160660</v>
      </c>
      <c r="R762" s="47">
        <f ca="1">R765+R768</f>
        <v>160660</v>
      </c>
      <c r="S762" s="47">
        <f ca="1">S765+S768</f>
        <v>73735</v>
      </c>
      <c r="T762" s="47">
        <f ca="1">IF(Q762&gt;0,S762*100/Q762,0)</f>
        <v>45.895057886219348</v>
      </c>
      <c r="U762" s="47">
        <f ca="1">IF(R762&gt;0,S762*100/R762,0)</f>
        <v>45.895057886219348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160660</v>
      </c>
      <c r="R763" s="47">
        <f ca="1">R764+R765</f>
        <v>160660</v>
      </c>
      <c r="S763" s="47">
        <f ca="1">S764+S765</f>
        <v>73735</v>
      </c>
      <c r="T763" s="47">
        <f ca="1">IF(Q763&gt;0,S763*100/Q763,0)</f>
        <v>45.895057886219348</v>
      </c>
      <c r="U763" s="47">
        <f ca="1">IF(R763&gt;0,S763*100/R763,0)</f>
        <v>45.895057886219348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IFERROR(__xludf.DUMMYFUNCTION("IMPORTRANGE(""https://docs.google.com/spreadsheets/d/1ItG2mGa2ceCfYo0BwxsXqNm01IGEUdYcSSLTEv9YCik/edit?usp=sharing"",""เบิกจ่ายกองทุน!AB81"")"),160660)</f>
        <v>160660</v>
      </c>
      <c r="S765" s="47">
        <f ca="1">IFERROR(__xludf.DUMMYFUNCTION("IMPORTRANGE(""https://docs.google.com/spreadsheets/d/1ItG2mGa2ceCfYo0BwxsXqNm01IGEUdYcSSLTEv9YCik/edit?usp=sharing"",""เบิกจ่ายกองทุน!AC81"")"),73735)</f>
        <v>73735</v>
      </c>
      <c r="T765" s="47">
        <f ca="1">IF(Q765&gt;0,S765*100/Q765,0)</f>
        <v>45.895057886219348</v>
      </c>
      <c r="U765" s="47">
        <f ca="1">IF(R765&gt;0,S765*100/R765,0)</f>
        <v>45.895057886219348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IFERROR(__xludf.DUMMYFUNCTION("IMPORTRANGE(""https://docs.google.com/spreadsheets/d/1eHaY18a8A9IcSdp1K8H6x8fbOy06t2VsZHhMHf-1x7Y/edit?usp=sharing"",""แผน!FI81"")"),1)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60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IFERROR(__xludf.DUMMYFUNCTION("IMPORTRANGE(""https://docs.google.com/spreadsheets/d/1eHaY18a8A9IcSdp1K8H6x8fbOy06t2VsZHhMHf-1x7Y/edit?usp=sharing"",""แผน!FT81"")"),20)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IFERROR(__xludf.DUMMYFUNCTION("IMPORTRANGE(""https://docs.google.com/spreadsheets/d/10OvvATaaLtwErnr3qtWFcTmtbfpFEt5Bsqel9sXx0uE/edit?usp=sharing"",""งานกองทุน!D81"")"),631714.82)</f>
        <v>631714.81999999995</v>
      </c>
      <c r="J778" s="152">
        <f ca="1">IFERROR(__xludf.DUMMYFUNCTION("IMPORTRANGE(""https://docs.google.com/spreadsheets/d/10OvvATaaLtwErnr3qtWFcTmtbfpFEt5Bsqel9sXx0uE/edit?usp=sharing"",""งานกองทุน!F81"")"),497377.62)</f>
        <v>497377.62</v>
      </c>
      <c r="K778" s="47">
        <f ca="1">IF(I778&gt;0,J778*100/I778,0)</f>
        <v>78.734518211872896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IFERROR(__xludf.DUMMYFUNCTION("IMPORTRANGE(""https://docs.google.com/spreadsheets/d/10OvvATaaLtwErnr3qtWFcTmtbfpFEt5Bsqel9sXx0uE/edit?usp=sharing"",""งานกองทุน!C81"")"),48)</f>
        <v>48</v>
      </c>
      <c r="J779" s="152">
        <f ca="1">IFERROR(__xludf.DUMMYFUNCTION("IMPORTRANGE(""https://docs.google.com/spreadsheets/d/10OvvATaaLtwErnr3qtWFcTmtbfpFEt5Bsqel9sXx0uE/edit?usp=sharing"",""งานกองทุน!E81"")"),41)</f>
        <v>41</v>
      </c>
      <c r="K779" s="47">
        <f ca="1">IF(I779&gt;0,J779*100/I779,0)</f>
        <v>85.416666666666671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152">
        <f ca="1">IFERROR(__xludf.DUMMYFUNCTION("IMPORTRANGE(""https://docs.google.com/spreadsheets/d/10OvvATaaLtwErnr3qtWFcTmtbfpFEt5Bsqel9sXx0uE/edit?usp=sharing"",""งานกองทุน!K81"")"),6422.2)</f>
        <v>6422.2</v>
      </c>
      <c r="K780" s="47">
        <f ca="1">IF(I780&gt;0,J780*100/I780,0)</f>
        <v>2.6539249178350266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IFERROR(__xludf.DUMMYFUNCTION("IMPORTRANGE(""https://docs.google.com/spreadsheets/d/10OvvATaaLtwErnr3qtWFcTmtbfpFEt5Bsqel9sXx0uE/edit?usp=sharing"",""งานกองทุน!H81"")"),10)</f>
        <v>10</v>
      </c>
      <c r="J781" s="15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ca="1">IF(I781&gt;0,J781*100/I781,0)</f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2" s="152">
        <f ca="1">IFERROR(__xludf.DUMMYFUNCTION("IMPORTRANGE(""https://docs.google.com/spreadsheets/d/10OvvATaaLtwErnr3qtWFcTmtbfpFEt5Bsqel9sXx0uE/edit?usp=sharing"",""งานกองทุน!P81"")"),17946.59)</f>
        <v>17946.59</v>
      </c>
      <c r="K782" s="47">
        <f ca="1">IF(I782&gt;0,J782*100/I782,0)</f>
        <v>55.936051853689612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IFERROR(__xludf.DUMMYFUNCTION("IMPORTRANGE(""https://docs.google.com/spreadsheets/d/10OvvATaaLtwErnr3qtWFcTmtbfpFEt5Bsqel9sXx0uE/edit?usp=sharing"",""งานกองทุน!M81"")"),51)</f>
        <v>51</v>
      </c>
      <c r="J783" s="152">
        <f ca="1">IFERROR(__xludf.DUMMYFUNCTION("IMPORTRANGE(""https://docs.google.com/spreadsheets/d/10OvvATaaLtwErnr3qtWFcTmtbfpFEt5Bsqel9sXx0uE/edit?usp=sharing"",""งานกองทุน!O81"")"),34)</f>
        <v>34</v>
      </c>
      <c r="K783" s="47">
        <f ca="1">IF(I783&gt;0,J783*100/I783,0)</f>
        <v>66.666666666666671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IFERROR(__xludf.DUMMYFUNCTION("IMPORTRANGE(""https://docs.google.com/spreadsheets/d/10OvvATaaLtwErnr3qtWFcTmtbfpFEt5Bsqel9sXx0uE/edit?usp=sharing"",""งานกองทุน!S81"")"),756000)</f>
        <v>756000</v>
      </c>
      <c r="J784" s="15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ca="1">IF(I784&gt;0,J784*100/I784,0)</f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IFERROR(__xludf.DUMMYFUNCTION("IMPORTRANGE(""https://docs.google.com/spreadsheets/d/10OvvATaaLtwErnr3qtWFcTmtbfpFEt5Bsqel9sXx0uE/edit?usp=sharing"",""งานกองทุน!R81"")"),27)</f>
        <v>27</v>
      </c>
      <c r="J785" s="197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ca="1">IF(I785&gt;0,J785*100/I785,0)</f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A967B-629A-4149-94AA-CA1A7FC15CA8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6" t="s">
        <v>0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</row>
    <row r="2" spans="1:21" ht="19.5" x14ac:dyDescent="0.3">
      <c r="A2" s="826" t="s">
        <v>324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</row>
    <row r="3" spans="1:21" ht="19.5" x14ac:dyDescent="0.3">
      <c r="A3" s="908" t="s">
        <v>334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1" ht="19.5" x14ac:dyDescent="0.3">
      <c r="A4" s="825" t="s">
        <v>4</v>
      </c>
      <c r="B4" s="822"/>
      <c r="C4" s="822"/>
      <c r="D4" s="822"/>
      <c r="E4" s="822"/>
      <c r="F4" s="822"/>
      <c r="G4" s="821"/>
      <c r="H4" s="824" t="s">
        <v>5</v>
      </c>
      <c r="I4" s="823" t="s">
        <v>6</v>
      </c>
      <c r="J4" s="822"/>
      <c r="K4" s="821"/>
      <c r="L4" s="820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9"/>
      <c r="B5" s="522"/>
      <c r="C5" s="522"/>
      <c r="D5" s="522"/>
      <c r="E5" s="522"/>
      <c r="F5" s="522"/>
      <c r="G5" s="535"/>
      <c r="H5" s="818"/>
      <c r="I5" s="536"/>
      <c r="J5" s="518"/>
      <c r="K5" s="519"/>
      <c r="L5" s="817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6"/>
      <c r="I6" s="814" t="s">
        <v>9</v>
      </c>
      <c r="J6" s="815" t="s">
        <v>10</v>
      </c>
      <c r="K6" s="814" t="s">
        <v>11</v>
      </c>
      <c r="L6" s="813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5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2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1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10">
        <f ca="1">L19+L20</f>
        <v>3062308</v>
      </c>
      <c r="M18" s="35">
        <f ca="1">M19+M20</f>
        <v>3144108</v>
      </c>
      <c r="N18" s="35">
        <f ca="1">N19+N20</f>
        <v>1976216.41</v>
      </c>
      <c r="O18" s="35">
        <f ca="1">IF(L18&gt;0,N18*100/L18,0)</f>
        <v>64.533561287760733</v>
      </c>
      <c r="P18" s="35">
        <f ca="1">IF(M18&gt;0,N18*100/M18,0)</f>
        <v>62.854596915882027</v>
      </c>
      <c r="Q18" s="35">
        <f ca="1">Q19+Q20</f>
        <v>5145872.24</v>
      </c>
      <c r="R18" s="35">
        <f ca="1">R19+R20</f>
        <v>5145872</v>
      </c>
      <c r="S18" s="35">
        <f ca="1">S19+S20</f>
        <v>849278.91</v>
      </c>
      <c r="T18" s="35">
        <f ca="1">IF(Q18&gt;0,S18*100/Q18,0)</f>
        <v>16.504080754247408</v>
      </c>
      <c r="U18" s="35">
        <f ca="1">IF(R18&gt;0,S18*100/R18,0)</f>
        <v>16.504081523986606</v>
      </c>
    </row>
    <row r="19" spans="1:21" ht="18.75" hidden="1" x14ac:dyDescent="0.25">
      <c r="A19" s="27"/>
      <c r="B19" s="28"/>
      <c r="C19" s="28"/>
      <c r="D19" s="28"/>
      <c r="E19" s="809" t="s">
        <v>20</v>
      </c>
      <c r="F19" s="28"/>
      <c r="G19" s="31"/>
      <c r="H19" s="808" t="s">
        <v>14</v>
      </c>
      <c r="I19" s="33"/>
      <c r="J19" s="33"/>
      <c r="K19" s="34"/>
      <c r="L19" s="807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6">
        <f ca="1">L23+L26</f>
        <v>3062308</v>
      </c>
      <c r="M20" s="39">
        <f ca="1">M23+M26</f>
        <v>3144108</v>
      </c>
      <c r="N20" s="39">
        <f ca="1">N23+N26</f>
        <v>1976216.41</v>
      </c>
      <c r="O20" s="39">
        <f ca="1">IF(L20&gt;0,N20*100/L20,0)</f>
        <v>64.533561287760733</v>
      </c>
      <c r="P20" s="39">
        <f ca="1">IF(M20&gt;0,N20*100/M20,0)</f>
        <v>62.854596915882027</v>
      </c>
      <c r="Q20" s="39">
        <f ca="1">Q23+Q26</f>
        <v>5145872.24</v>
      </c>
      <c r="R20" s="39">
        <f ca="1">R23+R26</f>
        <v>5145872</v>
      </c>
      <c r="S20" s="39">
        <f ca="1">S23+S26</f>
        <v>849278.91</v>
      </c>
      <c r="T20" s="39">
        <f ca="1">IF(Q20&gt;0,S20*100/Q20,0)</f>
        <v>16.504080754247408</v>
      </c>
      <c r="U20" s="39">
        <f ca="1">IF(R20&gt;0,S20*100/R20,0)</f>
        <v>16.504081523986606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3062308</v>
      </c>
      <c r="M21" s="47">
        <f ca="1">M22+M23</f>
        <v>3144108</v>
      </c>
      <c r="N21" s="47">
        <f ca="1">N22+N23</f>
        <v>1976216.41</v>
      </c>
      <c r="O21" s="47">
        <f ca="1">IF(L21&gt;0,N21*100/L21,0)</f>
        <v>64.533561287760733</v>
      </c>
      <c r="P21" s="47">
        <f ca="1">IF(M21&gt;0,N21*100/M21,0)</f>
        <v>62.854596915882027</v>
      </c>
      <c r="Q21" s="47">
        <f ca="1">Q22+Q23</f>
        <v>1535872.24</v>
      </c>
      <c r="R21" s="47">
        <f ca="1">R22+R23</f>
        <v>1535872</v>
      </c>
      <c r="S21" s="47">
        <f ca="1">S22+S23</f>
        <v>849278.91</v>
      </c>
      <c r="T21" s="47">
        <f ca="1">IF(Q21&gt;0,S21*100/Q21,0)</f>
        <v>55.296195079351129</v>
      </c>
      <c r="U21" s="47">
        <f ca="1">IF(R21&gt;0,S21*100/R21,0)</f>
        <v>55.296203720101673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3062308</v>
      </c>
      <c r="M23" s="47">
        <f ca="1">M49+M64+M77+M99+M122+M144+M162+M191+M178+M271+M287+M308+M325+M338+M361+M380+M418+M498+M518+M539+M560+M581+M604+M621+M647+M695+M719+M733+M765</f>
        <v>3144108</v>
      </c>
      <c r="N23" s="47">
        <f ca="1">N49+N64+N77+N99+N122+N144+N162+N191+N178+N271+N287+N308+N325+N338+N361+N380+N418+N498+N518+N539+N560+N581+N604+N621+N647+N695+N719+N733+N765</f>
        <v>1976216.41</v>
      </c>
      <c r="O23" s="47">
        <f ca="1">IF(L23&gt;0,N23*100/L23,0)</f>
        <v>64.533561287760733</v>
      </c>
      <c r="P23" s="47">
        <f ca="1">IF(M23&gt;0,N23*100/M23,0)</f>
        <v>62.854596915882027</v>
      </c>
      <c r="Q23" s="47">
        <f ca="1">Q77+Q99+Q122+Q144+Q162+Q178+Q191+Q271+Q287+Q308+Q338+Q380+Q397+Q418+Q498+Q604+Q621+Q647+Q695+Q719+Q733+Q765</f>
        <v>1535872.24</v>
      </c>
      <c r="R23" s="47">
        <f ca="1">R77+R99+R122+R144+R162+R178+R191+R271+R287+R308+R338+R380+R397+R418+R498+R604+R621+R647+R695+R719+R733+R765</f>
        <v>1535872</v>
      </c>
      <c r="S23" s="47">
        <f ca="1">S77+S99+S122+S144+S162+S178+S191+S271+S287+S308+S338+S380+S397+S418+S498+S604+S621+S647+S695+S719+S733+S765</f>
        <v>849278.91</v>
      </c>
      <c r="T23" s="47">
        <f ca="1">IF(Q23&gt;0,S23*100/Q23,0)</f>
        <v>55.296195079351129</v>
      </c>
      <c r="U23" s="47">
        <f ca="1">IF(R23&gt;0,S23*100/R23,0)</f>
        <v>55.296203720101673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3610000</v>
      </c>
      <c r="R24" s="47">
        <f ca="1">R25+R26</f>
        <v>3610000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3610000</v>
      </c>
      <c r="R26" s="49">
        <f ca="1">R80+R102+R125+R147+R165+R181+R194+R274+R290+R311+R341+R383+R400+R421+R501+R607+R624+R650+R698+R722+R736+R768</f>
        <v>3610000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5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4">
        <f ca="1">L44+L59+L72+L94+L125+L139+L157+L173+L186+L266+L282+L303+L320+L333+L356</f>
        <v>2627945</v>
      </c>
      <c r="M40" s="803">
        <f ca="1">M44+M59+M72+M94+M125+M139+M157+M173+M186+M266+M282+M303+M320+M333+M356</f>
        <v>2709745</v>
      </c>
      <c r="N40" s="803">
        <f ca="1">N44+N59+N72+N94+N125+N139+N157+N173+N186+N266+N282+N303+N320+N333+N356</f>
        <v>1962996.48</v>
      </c>
      <c r="O40" s="803">
        <f ca="1">IF(L40&gt;0,N40*100/L40,0)</f>
        <v>74.69701534849473</v>
      </c>
      <c r="P40" s="803">
        <f ca="1">IF(M40&gt;0,N40*100/M40,0)</f>
        <v>72.442110973541787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2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1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800" t="s">
        <v>18</v>
      </c>
      <c r="D44" s="799" t="s">
        <v>19</v>
      </c>
      <c r="E44" s="72"/>
      <c r="F44" s="72"/>
      <c r="G44" s="75"/>
      <c r="H44" s="76" t="s">
        <v>14</v>
      </c>
      <c r="I44" s="77"/>
      <c r="J44" s="77"/>
      <c r="K44" s="78"/>
      <c r="L44" s="798">
        <f ca="1">L45+L46</f>
        <v>570200</v>
      </c>
      <c r="M44" s="79">
        <f ca="1">M45+M46</f>
        <v>576680</v>
      </c>
      <c r="N44" s="79">
        <f ca="1">N45+N46</f>
        <v>425480</v>
      </c>
      <c r="O44" s="79">
        <f ca="1">IF(L44&gt;0,N44*100/L44,0)</f>
        <v>74.619431778323388</v>
      </c>
      <c r="P44" s="79">
        <f ca="1">IF(M44&gt;0,N44*100/M44,0)</f>
        <v>73.780953041548173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7" t="s">
        <v>20</v>
      </c>
      <c r="F45" s="72"/>
      <c r="G45" s="75"/>
      <c r="H45" s="796" t="s">
        <v>14</v>
      </c>
      <c r="I45" s="77"/>
      <c r="J45" s="77"/>
      <c r="K45" s="78"/>
      <c r="L45" s="795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4">
        <f ca="1">L49+L52</f>
        <v>570200</v>
      </c>
      <c r="M46" s="83">
        <f ca="1">M49+M52</f>
        <v>576680</v>
      </c>
      <c r="N46" s="83">
        <f ca="1">N49+N52</f>
        <v>425480</v>
      </c>
      <c r="O46" s="83">
        <f ca="1">IF(L46&gt;0,N46*100/L46,0)</f>
        <v>74.619431778323388</v>
      </c>
      <c r="P46" s="83">
        <f ca="1">IF(M46&gt;0,N46*100/M46,0)</f>
        <v>73.780953041548173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570200</v>
      </c>
      <c r="M47" s="47">
        <f ca="1">M48+M49</f>
        <v>576680</v>
      </c>
      <c r="N47" s="47">
        <f ca="1">N48+N49</f>
        <v>425480</v>
      </c>
      <c r="O47" s="47">
        <f ca="1">IF(L47&gt;0,N47*100/L47,0)</f>
        <v>74.619431778323388</v>
      </c>
      <c r="P47" s="47">
        <f ca="1">IF(M47&gt;0,N47*100/M47,0)</f>
        <v>73.780953041548173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IFERROR(__xludf.DUMMYFUNCTION("IMPORTRANGE(""https://docs.google.com/spreadsheets/d/1-uDff_7J0KD5mKrp0Vvzr7lt3OU09vwQwhkpOPPYv2Y/edit?usp=sharing"",""งบพรบ!P82"")"),570200)</f>
        <v>570200</v>
      </c>
      <c r="M49" s="47">
        <f ca="1">IFERROR(__xludf.DUMMYFUNCTION("IMPORTRANGE(""https://docs.google.com/spreadsheets/d/1-uDff_7J0KD5mKrp0Vvzr7lt3OU09vwQwhkpOPPYv2Y/edit?usp=sharing"",""งบพรบ!V82"")"),576680)</f>
        <v>576680</v>
      </c>
      <c r="N49" s="47">
        <f ca="1">IFERROR(__xludf.DUMMYFUNCTION("IMPORTRANGE(""https://docs.google.com/spreadsheets/d/1-uDff_7J0KD5mKrp0Vvzr7lt3OU09vwQwhkpOPPYv2Y/edit?usp=sharing"",""งบพรบ!Y82"")"),425480)</f>
        <v>425480</v>
      </c>
      <c r="O49" s="47">
        <f ca="1">IF(L49&gt;0,N49*100/L49,0)</f>
        <v>74.619431778323388</v>
      </c>
      <c r="P49" s="47">
        <f ca="1">IF(M49&gt;0,N49*100/M49,0)</f>
        <v>73.780953041548173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2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1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615700</v>
      </c>
      <c r="M59" s="106">
        <f ca="1">M60+M61</f>
        <v>615700</v>
      </c>
      <c r="N59" s="106">
        <f ca="1">N60+N61</f>
        <v>526334.49</v>
      </c>
      <c r="O59" s="106">
        <f ca="1">IF(L59&gt;0,N59*100/L59,0)</f>
        <v>85.485543284066921</v>
      </c>
      <c r="P59" s="106">
        <f ca="1">IF(M59&gt;0,N59*100/M59,0)</f>
        <v>85.485543284066921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615700</v>
      </c>
      <c r="M61" s="109">
        <f ca="1">M64+M67</f>
        <v>615700</v>
      </c>
      <c r="N61" s="109">
        <f ca="1">N64+N67</f>
        <v>526334.49</v>
      </c>
      <c r="O61" s="109">
        <f ca="1">IF(L61&gt;0,N61*100/L61,0)</f>
        <v>85.485543284066921</v>
      </c>
      <c r="P61" s="109">
        <f ca="1">IF(M61&gt;0,N61*100/M61,0)</f>
        <v>85.485543284066921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615700</v>
      </c>
      <c r="M62" s="47">
        <f ca="1">M63+M64</f>
        <v>615700</v>
      </c>
      <c r="N62" s="47">
        <f ca="1">N63+N64</f>
        <v>526334.49</v>
      </c>
      <c r="O62" s="47">
        <f ca="1">IF(L62&gt;0,N62*100/L62,0)</f>
        <v>85.485543284066921</v>
      </c>
      <c r="P62" s="47">
        <f ca="1">IF(M62&gt;0,N62*100/M62,0)</f>
        <v>85.485543284066921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IFERROR(__xludf.DUMMYFUNCTION("IMPORTRANGE(""https://docs.google.com/spreadsheets/d/1-uDff_7J0KD5mKrp0Vvzr7lt3OU09vwQwhkpOPPYv2Y/edit?usp=sharing"",""งบพรบ!AC82"")"),615700)</f>
        <v>615700</v>
      </c>
      <c r="M64" s="47">
        <f ca="1">IFERROR(__xludf.DUMMYFUNCTION("IMPORTRANGE(""https://docs.google.com/spreadsheets/d/1-uDff_7J0KD5mKrp0Vvzr7lt3OU09vwQwhkpOPPYv2Y/edit?usp=sharing"",""งบพรบ!AH82"")"),615700)</f>
        <v>615700</v>
      </c>
      <c r="N64" s="47">
        <f ca="1">IFERROR(__xludf.DUMMYFUNCTION("IMPORTRANGE(""https://docs.google.com/spreadsheets/d/1-uDff_7J0KD5mKrp0Vvzr7lt3OU09vwQwhkpOPPYv2Y/edit?usp=sharing"",""งบพรบ!AJ82"")"),526334.49)</f>
        <v>526334.49</v>
      </c>
      <c r="O64" s="47">
        <f ca="1">IF(L64&gt;0,N64*100/L64,0)</f>
        <v>85.485543284066921</v>
      </c>
      <c r="P64" s="47">
        <f ca="1">IF(M64&gt;0,N64*100/M64,0)</f>
        <v>85.485543284066921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503900</v>
      </c>
      <c r="M72" s="132">
        <f ca="1">M73+M74</f>
        <v>503900</v>
      </c>
      <c r="N72" s="132">
        <f ca="1">N73+N74</f>
        <v>425617.77</v>
      </c>
      <c r="O72" s="132">
        <f ca="1">IF(L72&gt;0,N72*100/L72,0)</f>
        <v>84.46472911291923</v>
      </c>
      <c r="P72" s="132">
        <f ca="1">IF(M72&gt;0,N72*100/M72,0)</f>
        <v>84.46472911291923</v>
      </c>
      <c r="Q72" s="132">
        <f ca="1">Q73+Q74</f>
        <v>344592</v>
      </c>
      <c r="R72" s="132">
        <f ca="1">R73+R74</f>
        <v>344592</v>
      </c>
      <c r="S72" s="132">
        <f ca="1">S73+S74</f>
        <v>108822</v>
      </c>
      <c r="T72" s="132">
        <f ca="1">IF(Q72&gt;0,S72*100/Q72,0)</f>
        <v>31.579955425546732</v>
      </c>
      <c r="U72" s="132">
        <f ca="1">IF(R72&gt;0,S72*100/R72,0)</f>
        <v>31.579955425546732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503900</v>
      </c>
      <c r="M74" s="47">
        <f ca="1">M77+M80</f>
        <v>503900</v>
      </c>
      <c r="N74" s="47">
        <f ca="1">N77+N80</f>
        <v>425617.77</v>
      </c>
      <c r="O74" s="47">
        <f ca="1">IF(L74&gt;0,N74*100/L74,0)</f>
        <v>84.46472911291923</v>
      </c>
      <c r="P74" s="47">
        <f ca="1">IF(M74&gt;0,N74*100/M74,0)</f>
        <v>84.46472911291923</v>
      </c>
      <c r="Q74" s="47">
        <f ca="1">Q77+Q80</f>
        <v>344592</v>
      </c>
      <c r="R74" s="47">
        <f ca="1">R77+R80</f>
        <v>344592</v>
      </c>
      <c r="S74" s="47">
        <f ca="1">S77+S80</f>
        <v>108822</v>
      </c>
      <c r="T74" s="47">
        <f ca="1">IF(Q74&gt;0,S74*100/Q74,0)</f>
        <v>31.579955425546732</v>
      </c>
      <c r="U74" s="47">
        <f ca="1">IF(R74&gt;0,S74*100/R74,0)</f>
        <v>31.579955425546732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503900</v>
      </c>
      <c r="M75" s="47">
        <f ca="1">M76+M77</f>
        <v>503900</v>
      </c>
      <c r="N75" s="47">
        <f ca="1">N76+N77</f>
        <v>425617.77</v>
      </c>
      <c r="O75" s="47">
        <f ca="1">IF(L75&gt;0,N75*100/L75,0)</f>
        <v>84.46472911291923</v>
      </c>
      <c r="P75" s="47">
        <f ca="1">IF(M75&gt;0,N75*100/M75,0)</f>
        <v>84.46472911291923</v>
      </c>
      <c r="Q75" s="47">
        <f ca="1">Q76+Q77</f>
        <v>344592</v>
      </c>
      <c r="R75" s="47">
        <f ca="1">R76+R77</f>
        <v>344592</v>
      </c>
      <c r="S75" s="47">
        <f ca="1">S76+S77</f>
        <v>108822</v>
      </c>
      <c r="T75" s="47">
        <f ca="1">IF(Q75&gt;0,S75*100/Q75,0)</f>
        <v>31.579955425546732</v>
      </c>
      <c r="U75" s="47">
        <f ca="1">IF(R75&gt;0,S75*100/R75,0)</f>
        <v>31.579955425546732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IFERROR(__xludf.DUMMYFUNCTION("IMPORTRANGE(""https://docs.google.com/spreadsheets/d/1-uDff_7J0KD5mKrp0Vvzr7lt3OU09vwQwhkpOPPYv2Y/edit?usp=sharing"",""งบพรบ!AM82"")"),503900)</f>
        <v>503900</v>
      </c>
      <c r="M77" s="47">
        <f ca="1">IFERROR(__xludf.DUMMYFUNCTION("IMPORTRANGE(""https://docs.google.com/spreadsheets/d/1-uDff_7J0KD5mKrp0Vvzr7lt3OU09vwQwhkpOPPYv2Y/edit?usp=sharing"",""งบพรบ!AR82"")"),503900)</f>
        <v>503900</v>
      </c>
      <c r="N77" s="47">
        <f ca="1">IFERROR(__xludf.DUMMYFUNCTION("IMPORTRANGE(""https://docs.google.com/spreadsheets/d/1-uDff_7J0KD5mKrp0Vvzr7lt3OU09vwQwhkpOPPYv2Y/edit?usp=sharing"",""งบพรบ!AT82"")"),425617.77)</f>
        <v>425617.77</v>
      </c>
      <c r="O77" s="47">
        <f ca="1">IF(L77&gt;0,N77*100/L77,0)</f>
        <v>84.46472911291923</v>
      </c>
      <c r="P77" s="47">
        <f ca="1">IF(M77&gt;0,N77*100/M77,0)</f>
        <v>84.46472911291923</v>
      </c>
      <c r="Q77" s="47">
        <f ca="1">IFERROR(__xludf.DUMMYFUNCTION("IMPORTRANGE(""https://docs.google.com/spreadsheets/d/1ItG2mGa2ceCfYo0BwxsXqNm01IGEUdYcSSLTEv9YCik/edit?usp=sharing"",""เบิกจ่ายกองทุน!BH82"")"),344592)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IFERROR(__xludf.DUMMYFUNCTION("IMPORTRANGE(""https://docs.google.com/spreadsheets/d/1ItG2mGa2ceCfYo0BwxsXqNm01IGEUdYcSSLTEv9YCik/edit?usp=sharing"",""เบิกจ่ายกองทุน!BI82"")"),344592)</f>
        <v>344592</v>
      </c>
      <c r="S77" s="47">
        <f ca="1">IFERROR(__xludf.DUMMYFUNCTION("IMPORTRANGE(""https://docs.google.com/spreadsheets/d/1ItG2mGa2ceCfYo0BwxsXqNm01IGEUdYcSSLTEv9YCik/edit?usp=sharing"",""เบิกจ่ายกองทุน!BJ82"")"),108822)</f>
        <v>108822</v>
      </c>
      <c r="T77" s="47">
        <f ca="1">IF(Q77&gt;0,S77*100/Q77,0)</f>
        <v>31.579955425546732</v>
      </c>
      <c r="U77" s="47">
        <f ca="1">IF(R77&gt;0,S77*100/R77,0)</f>
        <v>31.579955425546732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IFERROR(__xludf.DUMMYFUNCTION("IMPORTRANGE(""https://docs.google.com/spreadsheets/d/1ItG2mGa2ceCfYo0BwxsXqNm01IGEUdYcSSLTEv9YCik/edit?usp=sharing"",""เบิกจ่ายกองทุน!BK82"")"),0)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IFERROR(__xludf.DUMMYFUNCTION("IMPORTRANGE(""https://docs.google.com/spreadsheets/d/1ItG2mGa2ceCfYo0BwxsXqNm01IGEUdYcSSLTEv9YCik/edit?usp=sharing"",""เบิกจ่ายกองทุน!BL82"")"),0)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IFERROR(__xludf.DUMMYFUNCTION("IMPORTRANGE(""https://docs.google.com/spreadsheets/d/1ItG2mGa2ceCfYo0BwxsXqNm01IGEUdYcSSLTEv9YCik/edit?usp=sharing"",""เบิกจ่ายกองทุน!BM82"")"),0)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IFERROR(__xludf.DUMMYFUNCTION("IMPORTRANGE(""https://docs.google.com/spreadsheets/d/1eHaY18a8A9IcSdp1K8H6x8fbOy06t2VsZHhMHf-1x7Y/edit?usp=sharing"",""แผน!H82"")"),0)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IFERROR(__xludf.DUMMYFUNCTION("IMPORTRANGE(""https://docs.google.com/spreadsheets/d/1eHaY18a8A9IcSdp1K8H6x8fbOy06t2VsZHhMHf-1x7Y/edit?usp=sharing"",""แผน!I82"")"),0)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IFERROR(__xludf.DUMMYFUNCTION("IMPORTRANGE(""https://docs.google.com/spreadsheets/d/1eHaY18a8A9IcSdp1K8H6x8fbOy06t2VsZHhMHf-1x7Y/edit?usp=sharing"",""แผน!F82"")"),0)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IFERROR(__xludf.DUMMYFUNCTION("IMPORTRANGE(""https://docs.google.com/spreadsheets/d/1eHaY18a8A9IcSdp1K8H6x8fbOy06t2VsZHhMHf-1x7Y/edit?usp=sharing"",""แผน!G82"")"),0)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IFERROR(__xludf.DUMMYFUNCTION("IMPORTRANGE(""https://docs.google.com/spreadsheets/d/1eHaY18a8A9IcSdp1K8H6x8fbOy06t2VsZHhMHf-1x7Y/edit?usp=sharing"",""แผน!D82"")"),1)</f>
        <v>1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IFERROR(__xludf.DUMMYFUNCTION("IMPORTRANGE(""https://docs.google.com/spreadsheets/d/1eHaY18a8A9IcSdp1K8H6x8fbOy06t2VsZHhMHf-1x7Y/edit?usp=sharing"",""แผน!E82"")"),30)</f>
        <v>30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IFERROR(__xludf.DUMMYFUNCTION("IMPORTRANGE(""https://docs.google.com/spreadsheets/d/1eHaY18a8A9IcSdp1K8H6x8fbOy06t2VsZHhMHf-1x7Y/edit?usp=sharing"",""แผน!J82"")"),1)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6000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47300</v>
      </c>
      <c r="T94" s="132">
        <f ca="1">IF(Q94&gt;0,S94*100/Q94,0)</f>
        <v>56.02937692489931</v>
      </c>
      <c r="U94" s="132">
        <f ca="1">IF(R94&gt;0,S94*100/R94,0)</f>
        <v>56.02937692489931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6000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47300</v>
      </c>
      <c r="T96" s="47">
        <f ca="1">IF(Q96&gt;0,S96*100/Q96,0)</f>
        <v>56.02937692489931</v>
      </c>
      <c r="U96" s="47">
        <f ca="1">IF(R96&gt;0,S96*100/R96,0)</f>
        <v>56.02937692489931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6000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47300</v>
      </c>
      <c r="T97" s="47">
        <f ca="1">IF(Q97&gt;0,S97*100/Q97,0)</f>
        <v>56.02937692489931</v>
      </c>
      <c r="U97" s="47">
        <f ca="1">IF(R97&gt;0,S97*100/R97,0)</f>
        <v>56.02937692489931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IFERROR(__xludf.DUMMYFUNCTION("IMPORTRANGE(""https://docs.google.com/spreadsheets/d/1-uDff_7J0KD5mKrp0Vvzr7lt3OU09vwQwhkpOPPYv2Y/edit?usp=sharing"",""งบพรบ!AW82"")"),6000)</f>
        <v>6000</v>
      </c>
      <c r="M99" s="47">
        <f ca="1">IFERROR(__xludf.DUMMYFUNCTION("IMPORTRANGE(""https://docs.google.com/spreadsheets/d/1-uDff_7J0KD5mKrp0Vvzr7lt3OU09vwQwhkpOPPYv2Y/edit?usp=sharing"",""งบพรบ!BB82"")"),6000)</f>
        <v>6000</v>
      </c>
      <c r="N99" s="47">
        <f ca="1">IFERROR(__xludf.DUMMYFUNCTION("IMPORTRANGE(""https://docs.google.com/spreadsheets/d/1-uDff_7J0KD5mKrp0Vvzr7lt3OU09vwQwhkpOPPYv2Y/edit?usp=sharing"",""งบพรบ!BD82"")"),0)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IFERROR(__xludf.DUMMYFUNCTION("IMPORTRANGE(""https://docs.google.com/spreadsheets/d/1ItG2mGa2ceCfYo0BwxsXqNm01IGEUdYcSSLTEv9YCik/edit?usp=sharing"",""เบิกจ่ายกองทุน!AK82"")"),84420)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IFERROR(__xludf.DUMMYFUNCTION("IMPORTRANGE(""https://docs.google.com/spreadsheets/d/1ItG2mGa2ceCfYo0BwxsXqNm01IGEUdYcSSLTEv9YCik/edit?usp=sharing"",""เบิกจ่ายกองทุน!AL82"")"),47300)</f>
        <v>47300</v>
      </c>
      <c r="T99" s="47">
        <f ca="1">IF(Q99&gt;0,S99*100/Q99,0)</f>
        <v>56.02937692489931</v>
      </c>
      <c r="U99" s="47">
        <f ca="1">IF(R99&gt;0,S99*100/R99,0)</f>
        <v>56.02937692489931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IFERROR(__xludf.DUMMYFUNCTION("IMPORTRANGE(""https://docs.google.com/spreadsheets/d/1eHaY18a8A9IcSdp1K8H6x8fbOy06t2VsZHhMHf-1x7Y/edit?usp=sharing"",""แผน!N82"")"),30)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IFERROR(__xludf.DUMMYFUNCTION("IMPORTRANGE(""https://docs.google.com/spreadsheets/d/1eHaY18a8A9IcSdp1K8H6x8fbOy06t2VsZHhMHf-1x7Y/edit?usp=sharing"",""แผน!O82"")"),10)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IFERROR(__xludf.DUMMYFUNCTION("IMPORTRANGE(""https://docs.google.com/spreadsheets/d/1eHaY18a8A9IcSdp1K8H6x8fbOy06t2VsZHhMHf-1x7Y/edit?usp=sharing"",""แผน!N82"")"),30)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IFERROR(__xludf.DUMMYFUNCTION("IMPORTRANGE(""https://docs.google.com/spreadsheets/d/1eHaY18a8A9IcSdp1K8H6x8fbOy06t2VsZHhMHf-1x7Y/edit?usp=sharing"",""แผน!O82"")"),10)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3541460</v>
      </c>
      <c r="R117" s="132">
        <f ca="1">R118+R119</f>
        <v>3541460</v>
      </c>
      <c r="S117" s="132">
        <f ca="1">S118+S119</f>
        <v>118727.08</v>
      </c>
      <c r="T117" s="132">
        <f ca="1">IF(Q117&gt;0,S117*100/Q117,0)</f>
        <v>3.3524896511608206</v>
      </c>
      <c r="U117" s="132">
        <f ca="1">IF(R117&gt;0,S117*100/R117,0)</f>
        <v>3.3524896511608206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3541460</v>
      </c>
      <c r="R119" s="47">
        <f ca="1">R122+R125</f>
        <v>3541460</v>
      </c>
      <c r="S119" s="47">
        <f ca="1">S122+S125</f>
        <v>118727.08</v>
      </c>
      <c r="T119" s="47">
        <f ca="1">IF(Q119&gt;0,S119*100/Q119,0)</f>
        <v>3.3524896511608206</v>
      </c>
      <c r="U119" s="47">
        <f ca="1">IF(R119&gt;0,S119*100/R119,0)</f>
        <v>3.3524896511608206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118727.08</v>
      </c>
      <c r="T120" s="47">
        <f ca="1">IF(Q120&gt;0,S120*100/Q120,0)</f>
        <v>62.011427974511648</v>
      </c>
      <c r="U120" s="47">
        <f ca="1">IF(R120&gt;0,S120*100/R120,0)</f>
        <v>62.011427974511648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IFERROR(__xludf.DUMMYFUNCTION("IMPORTRANGE(""https://docs.google.com/spreadsheets/d/1ItG2mGa2ceCfYo0BwxsXqNm01IGEUdYcSSLTEv9YCik/edit?usp=sharing"",""เบิกจ่ายกองทุน!U82"")"),191460)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IFERROR(__xludf.DUMMYFUNCTION("IMPORTRANGE(""https://docs.google.com/spreadsheets/d/1ItG2mGa2ceCfYo0BwxsXqNm01IGEUdYcSSLTEv9YCik/edit?usp=sharing"",""เบิกจ่ายกองทุน!V82"")"),191460)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IFERROR(__xludf.DUMMYFUNCTION("IMPORTRANGE(""https://docs.google.com/spreadsheets/d/1ItG2mGa2ceCfYo0BwxsXqNm01IGEUdYcSSLTEv9YCik/edit?usp=sharing"",""เบิกจ่ายกองทุน!W82"")"),118727.08)</f>
        <v>118727.08</v>
      </c>
      <c r="T122" s="47">
        <f ca="1">IF(Q122&gt;0,S122*100/Q122,0)</f>
        <v>62.011427974511648</v>
      </c>
      <c r="U122" s="47">
        <f ca="1">IF(R122&gt;0,S122*100/R122,0)</f>
        <v>62.011427974511648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3350000</v>
      </c>
      <c r="R123" s="47">
        <f ca="1">R124+R125</f>
        <v>3350000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IFERROR(__xludf.DUMMYFUNCTION("IMPORTRANGE(""https://docs.google.com/spreadsheets/d/1ItG2mGa2ceCfYo0BwxsXqNm01IGEUdYcSSLTEv9YCik/edit?usp=sharing"",""เบิกจ่ายกองทุน!X82"")"),3350000)</f>
        <v>3350000</v>
      </c>
      <c r="R125" s="47">
        <f ca="1">IFERROR(__xludf.DUMMYFUNCTION("IMPORTRANGE(""https://docs.google.com/spreadsheets/d/1ItG2mGa2ceCfYo0BwxsXqNm01IGEUdYcSSLTEv9YCik/edit?usp=sharing"",""เบิกจ่ายกองทุน!Y82"")"),3350000)</f>
        <v>3350000</v>
      </c>
      <c r="S125" s="47">
        <f ca="1">IFERROR(__xludf.DUMMYFUNCTION("IMPORTRANGE(""https://docs.google.com/spreadsheets/d/1ItG2mGa2ceCfYo0BwxsXqNm01IGEUdYcSSLTEv9YCik/edit?usp=sharing"",""เบิกจ่ายกองทุน!Z82"")"),0)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IFERROR(__xludf.DUMMYFUNCTION("IMPORTRANGE(""https://docs.google.com/spreadsheets/d/1eHaY18a8A9IcSdp1K8H6x8fbOy06t2VsZHhMHf-1x7Y/edit?usp=sharing"",""แผน!FF82"")"),15)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IFERROR(__xludf.DUMMYFUNCTION("IMPORTRANGE(""https://docs.google.com/spreadsheets/d/1eHaY18a8A9IcSdp1K8H6x8fbOy06t2VsZHhMHf-1x7Y/edit?usp=sharing"",""แผน!FG82"")"),1)</f>
        <v>1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IFERROR(__xludf.DUMMYFUNCTION("IMPORTRANGE(""https://docs.google.com/spreadsheets/d/1eHaY18a8A9IcSdp1K8H6x8fbOy06t2VsZHhMHf-1x7Y/edit?usp=sharing"",""แผน!FH82"")"),15)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IFERROR(__xludf.DUMMYFUNCTION("IMPORTRANGE(""https://docs.google.com/spreadsheets/d/1eHaY18a8A9IcSdp1K8H6x8fbOy06t2VsZHhMHf-1x7Y/edit?usp=sharing"",""แผน!FI82"")"),1)</f>
        <v>1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60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6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91400</v>
      </c>
      <c r="M139" s="132">
        <f ca="1">M140+M141</f>
        <v>86400</v>
      </c>
      <c r="N139" s="132">
        <f ca="1">N140+N141</f>
        <v>81844</v>
      </c>
      <c r="O139" s="132">
        <f ca="1">IF(L139&gt;0,N139*100/L139,0)</f>
        <v>89.544857768052523</v>
      </c>
      <c r="P139" s="132">
        <f ca="1">IF(M139&gt;0,N139*100/M139,0)</f>
        <v>94.726851851851848</v>
      </c>
      <c r="Q139" s="132">
        <f ca="1">Q140+Q141</f>
        <v>309860</v>
      </c>
      <c r="R139" s="132">
        <f ca="1">R140+R141</f>
        <v>309860</v>
      </c>
      <c r="S139" s="132">
        <f ca="1">S140+S141</f>
        <v>24970</v>
      </c>
      <c r="T139" s="132">
        <f ca="1">IF(Q139&gt;0,S139*100/Q139,0)</f>
        <v>8.0584780223326664</v>
      </c>
      <c r="U139" s="132">
        <f ca="1">IF(R139&gt;0,S139*100/R139,0)</f>
        <v>8.0584780223326664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91400</v>
      </c>
      <c r="M141" s="47">
        <f ca="1">M144+M147</f>
        <v>86400</v>
      </c>
      <c r="N141" s="47">
        <f ca="1">N144+N147</f>
        <v>81844</v>
      </c>
      <c r="O141" s="47">
        <f ca="1">IF(L141&gt;0,N141*100/L141,0)</f>
        <v>89.544857768052523</v>
      </c>
      <c r="P141" s="47">
        <f ca="1">IF(M141&gt;0,N141*100/M141,0)</f>
        <v>94.726851851851848</v>
      </c>
      <c r="Q141" s="47">
        <f ca="1">Q144+Q147</f>
        <v>309860</v>
      </c>
      <c r="R141" s="47">
        <f ca="1">R144+R147</f>
        <v>309860</v>
      </c>
      <c r="S141" s="47">
        <f ca="1">S144+S147</f>
        <v>24970</v>
      </c>
      <c r="T141" s="47">
        <f ca="1">IF(Q141&gt;0,S141*100/Q141,0)</f>
        <v>8.0584780223326664</v>
      </c>
      <c r="U141" s="47">
        <f ca="1">IF(R141&gt;0,S141*100/R141,0)</f>
        <v>8.0584780223326664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91400</v>
      </c>
      <c r="M142" s="47">
        <f ca="1">M143+M144</f>
        <v>86400</v>
      </c>
      <c r="N142" s="47">
        <f ca="1">N143+N144</f>
        <v>81844</v>
      </c>
      <c r="O142" s="47">
        <f ca="1">IF(L142&gt;0,N142*100/L142,0)</f>
        <v>89.544857768052523</v>
      </c>
      <c r="P142" s="47">
        <f ca="1">IF(M142&gt;0,N142*100/M142,0)</f>
        <v>94.726851851851848</v>
      </c>
      <c r="Q142" s="47">
        <f ca="1">Q143+Q144</f>
        <v>49860</v>
      </c>
      <c r="R142" s="47">
        <f ca="1">R143+R144</f>
        <v>49860</v>
      </c>
      <c r="S142" s="47">
        <f ca="1">S143+S144</f>
        <v>24970</v>
      </c>
      <c r="T142" s="47">
        <f ca="1">IF(Q142&gt;0,S142*100/Q142,0)</f>
        <v>50.080224628961091</v>
      </c>
      <c r="U142" s="47">
        <f ca="1">IF(R142&gt;0,S142*100/R142,0)</f>
        <v>50.080224628961091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IFERROR(__xludf.DUMMYFUNCTION("IMPORTRANGE(""https://docs.google.com/spreadsheets/d/1-uDff_7J0KD5mKrp0Vvzr7lt3OU09vwQwhkpOPPYv2Y/edit?usp=sharing"",""งบพรบ!BX82"")"),81844)</f>
        <v>81844</v>
      </c>
      <c r="O144" s="47">
        <f ca="1">IF(L144&gt;0,N144*100/L144,0)</f>
        <v>89.544857768052523</v>
      </c>
      <c r="P144" s="47">
        <f ca="1">IF(M144&gt;0,N144*100/M144,0)</f>
        <v>94.726851851851848</v>
      </c>
      <c r="Q144" s="47">
        <f ca="1">IFERROR(__xludf.DUMMYFUNCTION("IMPORTRANGE(""https://docs.google.com/spreadsheets/d/1ItG2mGa2ceCfYo0BwxsXqNm01IGEUdYcSSLTEv9YCik/edit?usp=sharing"",""เบิกจ่ายกองทุน!CF82"")"),49860)</f>
        <v>49860</v>
      </c>
      <c r="R144" s="47">
        <f ca="1">IFERROR(__xludf.DUMMYFUNCTION("IMPORTRANGE(""https://docs.google.com/spreadsheets/d/1ItG2mGa2ceCfYo0BwxsXqNm01IGEUdYcSSLTEv9YCik/edit?usp=sharing"",""เบิกจ่ายกองทุน!CG82"")"),49860)</f>
        <v>49860</v>
      </c>
      <c r="S144" s="47">
        <f ca="1">IFERROR(__xludf.DUMMYFUNCTION("IMPORTRANGE(""https://docs.google.com/spreadsheets/d/1ItG2mGa2ceCfYo0BwxsXqNm01IGEUdYcSSLTEv9YCik/edit?usp=sharing"",""เบิกจ่ายกองทุน!CH82"")"),24970)</f>
        <v>24970</v>
      </c>
      <c r="T144" s="47">
        <f ca="1">IF(Q144&gt;0,S144*100/Q144,0)</f>
        <v>50.080224628961091</v>
      </c>
      <c r="U144" s="47">
        <f ca="1">IF(R144&gt;0,S144*100/R144,0)</f>
        <v>50.080224628961091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260000</v>
      </c>
      <c r="R145" s="47">
        <f ca="1">R146+R147</f>
        <v>260000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IFERROR(__xludf.DUMMYFUNCTION("IMPORTRANGE(""https://docs.google.com/spreadsheets/d/1ItG2mGa2ceCfYo0BwxsXqNm01IGEUdYcSSLTEv9YCik/edit?usp=sharing"",""เบิกจ่ายกองทุน!CI82"")"),260000)</f>
        <v>260000</v>
      </c>
      <c r="R147" s="47">
        <f ca="1">IFERROR(__xludf.DUMMYFUNCTION("IMPORTRANGE(""https://docs.google.com/spreadsheets/d/1ItG2mGa2ceCfYo0BwxsXqNm01IGEUdYcSSLTEv9YCik/edit?usp=sharing"",""เบิกจ่ายกองทุน!CJ82"")"),260000)</f>
        <v>260000</v>
      </c>
      <c r="S147" s="47">
        <f ca="1">IFERROR(__xludf.DUMMYFUNCTION("IMPORTRANGE(""https://docs.google.com/spreadsheets/d/1ItG2mGa2ceCfYo0BwxsXqNm01IGEUdYcSSLTEv9YCik/edit?usp=sharing"",""เบิกจ่ายกองทุน!CK82"")"),0)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IFERROR(__xludf.DUMMYFUNCTION("IMPORTRANGE(""https://docs.google.com/spreadsheets/d/1eHaY18a8A9IcSdp1K8H6x8fbOy06t2VsZHhMHf-1x7Y/edit?usp=sharing"",""แผน!U82"")"),20)</f>
        <v>20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IFERROR(__xludf.DUMMYFUNCTION("IMPORTRANGE(""https://docs.google.com/spreadsheets/d/1eHaY18a8A9IcSdp1K8H6x8fbOy06t2VsZHhMHf-1x7Y/edit?usp=sharing"",""แผน!V82"")"),2)</f>
        <v>2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IFERROR(__xludf.DUMMYFUNCTION("IMPORTRANGE(""https://docs.google.com/spreadsheets/d/1eHaY18a8A9IcSdp1K8H6x8fbOy06t2VsZHhMHf-1x7Y/edit?usp=sharing"",""แผน!W82"")"),60)</f>
        <v>60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IFERROR(__xludf.DUMMYFUNCTION("IMPORTRANGE(""https://docs.google.com/spreadsheets/d/1eHaY18a8A9IcSdp1K8H6x8fbOy06t2VsZHhMHf-1x7Y/edit?usp=sharing"",""แผน!X82"")"),6)</f>
        <v>6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IFERROR(__xludf.DUMMYFUNCTION("IMPORTRANGE(""https://docs.google.com/spreadsheets/d/1eHaY18a8A9IcSdp1K8H6x8fbOy06t2VsZHhMHf-1x7Y/edit?usp=sharing"",""แผน!Y82"")"),2)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IFERROR(__xludf.DUMMYFUNCTION("IMPORTRANGE(""https://docs.google.com/spreadsheets/d/1ItG2mGa2ceCfYo0BwxsXqNm01IGEUdYcSSLTEv9YCik/edit?usp=sharing"",""เบิกจ่ายกองทุน!AO82"")"),0)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IFERROR(__xludf.DUMMYFUNCTION("IMPORTRANGE(""https://docs.google.com/spreadsheets/d/1eHaY18a8A9IcSdp1K8H6x8fbOy06t2VsZHhMHf-1x7Y/edit?usp=sharing"",""แผน!Z82"")"),0)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IFERROR(__xludf.DUMMYFUNCTION("IMPORTRANGE(""https://docs.google.com/spreadsheets/d/1eHaY18a8A9IcSdp1K8H6x8fbOy06t2VsZHhMHf-1x7Y/edit?usp=sharing"",""แผน!Z82"")"),0)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IFERROR(__xludf.DUMMYFUNCTION("IMPORTRANGE(""https://docs.google.com/spreadsheets/d/1eHaY18a8A9IcSdp1K8H6x8fbOy06t2VsZHhMHf-1x7Y/edit?usp=sharing"",""แผน!Z82"")"),0)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IFERROR(__xludf.DUMMYFUNCTION("IMPORTRANGE(""https://docs.google.com/spreadsheets/d/1ItG2mGa2ceCfYo0BwxsXqNm01IGEUdYcSSLTEv9YCik/edit?usp=sharing"",""เบิกจ่ายกองทุน!DI82"")"),0)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IFERROR(__xludf.DUMMYFUNCTION("IMPORTRANGE(""https://docs.google.com/spreadsheets/d/1eHaY18a8A9IcSdp1K8H6x8fbOy06t2VsZHhMHf-1x7Y/edit?usp=sharing"",""แผน!AA82"")"),0)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66200</v>
      </c>
      <c r="M186" s="132">
        <f ca="1">M187+M188</f>
        <v>68200</v>
      </c>
      <c r="N186" s="132">
        <f ca="1">N187+N188</f>
        <v>14480</v>
      </c>
      <c r="O186" s="132">
        <f ca="1">IF(L186&gt;0,N186*100/L186,0)</f>
        <v>21.873111782477341</v>
      </c>
      <c r="P186" s="132">
        <f ca="1">IF(M186&gt;0,N186*100/M186,0)</f>
        <v>21.231671554252198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66200</v>
      </c>
      <c r="M188" s="47">
        <f ca="1">M191+M194</f>
        <v>68200</v>
      </c>
      <c r="N188" s="47">
        <f ca="1">N191+N194</f>
        <v>14480</v>
      </c>
      <c r="O188" s="47">
        <f ca="1">IF(L188&gt;0,N188*100/L188,0)</f>
        <v>21.873111782477341</v>
      </c>
      <c r="P188" s="47">
        <f ca="1">IF(M188&gt;0,N188*100/M188,0)</f>
        <v>21.231671554252198</v>
      </c>
      <c r="Q188" s="47">
        <f ca="1">Q191+Q194</f>
        <v>28000</v>
      </c>
      <c r="R188" s="47">
        <f ca="1">R191+R194</f>
        <v>28000</v>
      </c>
      <c r="S188" s="47">
        <f ca="1">S191+S194</f>
        <v>28000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66200</v>
      </c>
      <c r="M189" s="47">
        <f ca="1">M190+M191</f>
        <v>68200</v>
      </c>
      <c r="N189" s="47">
        <f ca="1">N190+N191</f>
        <v>14480</v>
      </c>
      <c r="O189" s="47">
        <f ca="1">IF(L189&gt;0,N189*100/L189,0)</f>
        <v>21.873111782477341</v>
      </c>
      <c r="P189" s="47">
        <f ca="1">IF(M189&gt;0,N189*100/M189,0)</f>
        <v>21.231671554252198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IFERROR(__xludf.DUMMYFUNCTION("IMPORTRANGE(""https://docs.google.com/spreadsheets/d/1-uDff_7J0KD5mKrp0Vvzr7lt3OU09vwQwhkpOPPYv2Y/edit?usp=sharing"",""งบพรบ!CU82"")"),66200)</f>
        <v>66200</v>
      </c>
      <c r="M191" s="47">
        <f ca="1">IFERROR(__xludf.DUMMYFUNCTION("IMPORTRANGE(""https://docs.google.com/spreadsheets/d/1-uDff_7J0KD5mKrp0Vvzr7lt3OU09vwQwhkpOPPYv2Y/edit?usp=sharing"",""งบพรบ!CZ82"")"),68200)</f>
        <v>68200</v>
      </c>
      <c r="N191" s="47">
        <f ca="1">IFERROR(__xludf.DUMMYFUNCTION("IMPORTRANGE(""https://docs.google.com/spreadsheets/d/1-uDff_7J0KD5mKrp0Vvzr7lt3OU09vwQwhkpOPPYv2Y/edit?usp=sharing"",""งบพรบ!DB82"")"),14480)</f>
        <v>14480</v>
      </c>
      <c r="O191" s="47">
        <f ca="1">IF(L191&gt;0,N191*100/L191,0)</f>
        <v>21.873111782477341</v>
      </c>
      <c r="P191" s="47">
        <f ca="1">IF(M191&gt;0,N191*100/M191,0)</f>
        <v>21.231671554252198</v>
      </c>
      <c r="Q191" s="47">
        <f ca="1">IFERROR(__xludf.DUMMYFUNCTION("IMPORTRANGE(""https://docs.google.com/spreadsheets/d/1ItG2mGa2ceCfYo0BwxsXqNm01IGEUdYcSSLTEv9YCik/edit?usp=sharing"",""เบิกจ่ายกองทุน!BQ82"")"),28000)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IFERROR(__xludf.DUMMYFUNCTION("IMPORTRANGE(""https://docs.google.com/spreadsheets/d/1ItG2mGa2ceCfYo0BwxsXqNm01IGEUdYcSSLTEv9YCik/edit?usp=sharing"",""เบิกจ่ายกองทุน!BS82"")"),28000)</f>
        <v>28000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IFERROR(__xludf.DUMMYFUNCTION("IMPORTRANGE(""https://docs.google.com/spreadsheets/d/1ItG2mGa2ceCfYo0BwxsXqNm01IGEUdYcSSLTEv9YCik/edit?usp=sharing"",""เบิกจ่ายกองทุน!BT82"")"),0)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IFERROR(__xludf.DUMMYFUNCTION("IMPORTRANGE(""https://docs.google.com/spreadsheets/d/1ItG2mGa2ceCfYo0BwxsXqNm01IGEUdYcSSLTEv9YCik/edit?usp=sharing"",""เบิกจ่ายกองทุน!BU82"")"),0)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IFERROR(__xludf.DUMMYFUNCTION("IMPORTRANGE(""https://docs.google.com/spreadsheets/d/1ItG2mGa2ceCfYo0BwxsXqNm01IGEUdYcSSLTEv9YCik/edit?usp=sharing"",""เบิกจ่ายกองทุน!BV82"")"),0)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769">
        <v>2000</v>
      </c>
      <c r="O196" s="132">
        <f ca="1">IF(L196&gt;0,N196*100/L196,0)</f>
        <v>33.333333333333336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IFERROR(__xludf.DUMMYFUNCTION("IMPORTRANGE(""https://docs.google.com/spreadsheets/d/1eHaY18a8A9IcSdp1K8H6x8fbOy06t2VsZHhMHf-1x7Y/edit?usp=sharing"",""แผน!AE82"")"),4)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71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71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10000</v>
      </c>
      <c r="O203" s="132">
        <f ca="1">IF(L203&gt;0,N203*100/L203,0)</f>
        <v>100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28000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314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IFERROR(__xludf.DUMMYFUNCTION("IMPORTRANGE(""https://docs.google.com/spreadsheets/d/1eHaY18a8A9IcSdp1K8H6x8fbOy06t2VsZHhMHf-1x7Y/edit?usp=sharing"",""แผน!AG82"")"),2000)</f>
        <v>2000</v>
      </c>
      <c r="M204" s="46"/>
      <c r="N204" s="743">
        <v>2000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313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IFERROR(__xludf.DUMMYFUNCTION("IMPORTRANGE(""https://docs.google.com/spreadsheets/d/1eHaY18a8A9IcSdp1K8H6x8fbOy06t2VsZHhMHf-1x7Y/edit?usp=sharing"",""แผน!AH82"")"),0)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IFERROR(__xludf.DUMMYFUNCTION("IMPORTRANGE(""https://docs.google.com/spreadsheets/d/1eHaY18a8A9IcSdp1K8H6x8fbOy06t2VsZHhMHf-1x7Y/edit?usp=sharing"",""แผน!AI82"")"),0)</f>
        <v>0</v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743">
        <v>28000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IFERROR(__xludf.DUMMYFUNCTION("IMPORTRANGE(""https://docs.google.com/spreadsheets/d/1eHaY18a8A9IcSdp1K8H6x8fbOy06t2VsZHhMHf-1x7Y/edit?usp=sharing"",""แผน!AJ82"")"),8000)</f>
        <v>8000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IFERROR(__xludf.DUMMYFUNCTION("IMPORTRANGE(""https://docs.google.com/spreadsheets/d/1eHaY18a8A9IcSdp1K8H6x8fbOy06t2VsZHhMHf-1x7Y/edit?usp=sharing"",""แผน!AK82"")"),2)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IFERROR(__xludf.DUMMYFUNCTION("IMPORTRANGE(""https://docs.google.com/spreadsheets/d/1eHaY18a8A9IcSdp1K8H6x8fbOy06t2VsZHhMHf-1x7Y/edit?usp=sharing"",""แผน!JX82"")"),1)</f>
        <v>1</v>
      </c>
      <c r="J211" s="167">
        <v>2</v>
      </c>
      <c r="K211" s="153">
        <f ca="1">IF(I211&gt;0,J211*100/I211,0)</f>
        <v>200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IFERROR(__xludf.DUMMYFUNCTION("IMPORTRANGE(""https://docs.google.com/spreadsheets/d/1eHaY18a8A9IcSdp1K8H6x8fbOy06t2VsZHhMHf-1x7Y/edit?usp=sharing"",""แผน!JY82"")"),0)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IFERROR(__xludf.DUMMYFUNCTION("IMPORTRANGE(""https://docs.google.com/spreadsheets/d/1eHaY18a8A9IcSdp1K8H6x8fbOy06t2VsZHhMHf-1x7Y/edit?usp=sharing"",""แผน!AM82"")"),0)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IFERROR(__xludf.DUMMYFUNCTION("IMPORTRANGE(""https://docs.google.com/spreadsheets/d/1eHaY18a8A9IcSdp1K8H6x8fbOy06t2VsZHhMHf-1x7Y/edit?usp=sharing"",""แผน!AN82"")"),0)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IFERROR(__xludf.DUMMYFUNCTION("IMPORTRANGE(""https://docs.google.com/spreadsheets/d/1eHaY18a8A9IcSdp1K8H6x8fbOy06t2VsZHhMHf-1x7Y/edit?usp=sharing"",""แผน!AO82"")"),0)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IFERROR(__xludf.DUMMYFUNCTION("IMPORTRANGE(""https://docs.google.com/spreadsheets/d/1eHaY18a8A9IcSdp1K8H6x8fbOy06t2VsZHhMHf-1x7Y/edit?usp=sharing"",""แผน!LY82"")"),0)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IFERROR(__xludf.DUMMYFUNCTION("IMPORTRANGE(""https://docs.google.com/spreadsheets/d/1eHaY18a8A9IcSdp1K8H6x8fbOy06t2VsZHhMHf-1x7Y/edit?usp=sharing"",""แผน!AP82"")"),0)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10000</v>
      </c>
      <c r="K221" s="229">
        <f ca="1">IF(I221&gt;0,J221*100/I221,0)</f>
        <v>100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3000</v>
      </c>
      <c r="O222" s="132">
        <f ca="1">IF(L222&gt;0,N222*100/L222,0)</f>
        <v>66.666666666666671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312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IFERROR(__xludf.DUMMYFUNCTION("IMPORTRANGE(""https://docs.google.com/spreadsheets/d/1eHaY18a8A9IcSdp1K8H6x8fbOy06t2VsZHhMHf-1x7Y/edit?usp=sharing"",""แผน!AR82"")"),2500)</f>
        <v>2500</v>
      </c>
      <c r="M223" s="46"/>
      <c r="N223" s="743">
        <v>1000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311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IFERROR(__xludf.DUMMYFUNCTION("IMPORTRANGE(""https://docs.google.com/spreadsheets/d/1eHaY18a8A9IcSdp1K8H6x8fbOy06t2VsZHhMHf-1x7Y/edit?usp=sharing"",""แผน!AS82"")"),2000)</f>
        <v>2000</v>
      </c>
      <c r="M224" s="46"/>
      <c r="N224" s="743">
        <v>2000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IFERROR(__xludf.DUMMYFUNCTION("IMPORTRANGE(""https://docs.google.com/spreadsheets/d/1eHaY18a8A9IcSdp1K8H6x8fbOy06t2VsZHhMHf-1x7Y/edit?usp=sharing"",""แผน!AT82"")"),0)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IFERROR(__xludf.DUMMYFUNCTION("IMPORTRANGE(""https://docs.google.com/spreadsheets/d/1eHaY18a8A9IcSdp1K8H6x8fbOy06t2VsZHhMHf-1x7Y/edit?usp=sharing"",""แผน!AV82"")"),10000)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10000</v>
      </c>
      <c r="K229" s="153">
        <f ca="1">IF(I229&gt;0,J229*100/I229,0)</f>
        <v>100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IFERROR(__xludf.DUMMYFUNCTION("IMPORTRANGE(""https://docs.google.com/spreadsheets/d/1eHaY18a8A9IcSdp1K8H6x8fbOy06t2VsZHhMHf-1x7Y/edit?usp=sharing"",""แผน!AU82"")"),0)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2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IFERROR(__xludf.DUMMYFUNCTION("IMPORTRANGE(""https://docs.google.com/spreadsheets/d/1eHaY18a8A9IcSdp1K8H6x8fbOy06t2VsZHhMHf-1x7Y/edit?usp=sharing"",""แผน!AX82"")"),0)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IFERROR(__xludf.DUMMYFUNCTION("IMPORTRANGE(""https://docs.google.com/spreadsheets/d/1eHaY18a8A9IcSdp1K8H6x8fbOy06t2VsZHhMHf-1x7Y/edit?usp=sharing"",""แผน!AY82"")"),0)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IFERROR(__xludf.DUMMYFUNCTION("IMPORTRANGE(""https://docs.google.com/spreadsheets/d/1eHaY18a8A9IcSdp1K8H6x8fbOy06t2VsZHhMHf-1x7Y/edit?usp=sharing"",""แผน!AZ82"")"),0)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IFERROR(__xludf.DUMMYFUNCTION("IMPORTRANGE(""https://docs.google.com/spreadsheets/d/1eHaY18a8A9IcSdp1K8H6x8fbOy06t2VsZHhMHf-1x7Y/edit?usp=sharing"",""แผน!BA82"")"),0)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IFERROR(__xludf.DUMMYFUNCTION("IMPORTRANGE(""https://docs.google.com/spreadsheets/d/1eHaY18a8A9IcSdp1K8H6x8fbOy06t2VsZHhMHf-1x7Y/edit?usp=sharing"",""แผน!BG82"")"),0)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IFERROR(__xludf.DUMMYFUNCTION("IMPORTRANGE(""https://docs.google.com/spreadsheets/d/1eHaY18a8A9IcSdp1K8H6x8fbOy06t2VsZHhMHf-1x7Y/edit?usp=sharing"",""แผน!BB82"")"),0)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IFERROR(__xludf.DUMMYFUNCTION("IMPORTRANGE(""https://docs.google.com/spreadsheets/d/1eHaY18a8A9IcSdp1K8H6x8fbOy06t2VsZHhMHf-1x7Y/edit?usp=sharing"",""แผน!BC82"")"),0)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IFERROR(__xludf.DUMMYFUNCTION("IMPORTRANGE(""https://docs.google.com/spreadsheets/d/1eHaY18a8A9IcSdp1K8H6x8fbOy06t2VsZHhMHf-1x7Y/edit?usp=sharing"",""แผน!BD82"")"),0)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IFERROR(__xludf.DUMMYFUNCTION("IMPORTRANGE(""https://docs.google.com/spreadsheets/d/1eHaY18a8A9IcSdp1K8H6x8fbOy06t2VsZHhMHf-1x7Y/edit?usp=sharing"",""แผน!BE82"")"),0)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IFERROR(__xludf.DUMMYFUNCTION("IMPORTRANGE(""https://docs.google.com/spreadsheets/d/1eHaY18a8A9IcSdp1K8H6x8fbOy06t2VsZHhMHf-1x7Y/edit?usp=sharing"",""แผน!BH82"")"),0)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72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70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550">
        <f ca="1">L267+L268</f>
        <v>5000</v>
      </c>
      <c r="M266" s="132">
        <f ca="1">M267+M268</f>
        <v>22320</v>
      </c>
      <c r="N266" s="132">
        <f ca="1">N267+N268</f>
        <v>22320</v>
      </c>
      <c r="O266" s="132">
        <f ca="1">IF(L266&gt;0,N266*100/L266,0)</f>
        <v>446.4</v>
      </c>
      <c r="P266" s="132">
        <f ca="1">IF(M266&gt;0,N266*100/M266,0)</f>
        <v>100</v>
      </c>
      <c r="Q266" s="132">
        <f ca="1">Q267+Q268</f>
        <v>50660</v>
      </c>
      <c r="R266" s="132">
        <f ca="1">R267+R268</f>
        <v>50660</v>
      </c>
      <c r="S266" s="132">
        <f ca="1">S267+S268</f>
        <v>48446</v>
      </c>
      <c r="T266" s="132">
        <f ca="1">IF(Q266&gt;0,S266*100/Q266,0)</f>
        <v>95.62968811685748</v>
      </c>
      <c r="U266" s="132">
        <f ca="1">IF(R266&gt;0,S266*100/R266,0)</f>
        <v>95.62968811685748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548">
        <f ca="1">L271+L274</f>
        <v>5000</v>
      </c>
      <c r="M268" s="47">
        <f ca="1">M271+M274</f>
        <v>22320</v>
      </c>
      <c r="N268" s="47">
        <f ca="1">N271+N274</f>
        <v>22320</v>
      </c>
      <c r="O268" s="47">
        <f ca="1">IF(L268&gt;0,N268*100/L268,0)</f>
        <v>446.4</v>
      </c>
      <c r="P268" s="47">
        <f ca="1">IF(M268&gt;0,N268*100/M268,0)</f>
        <v>100</v>
      </c>
      <c r="Q268" s="47">
        <f ca="1">Q271+Q274</f>
        <v>50660</v>
      </c>
      <c r="R268" s="47">
        <f ca="1">R271+R274</f>
        <v>50660</v>
      </c>
      <c r="S268" s="47">
        <f ca="1">S271+S274</f>
        <v>48446</v>
      </c>
      <c r="T268" s="47">
        <f ca="1">IF(Q268&gt;0,S268*100/Q268,0)</f>
        <v>95.62968811685748</v>
      </c>
      <c r="U268" s="47">
        <f ca="1">IF(R268&gt;0,S268*100/R268,0)</f>
        <v>95.62968811685748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548">
        <f ca="1">L270+L271</f>
        <v>5000</v>
      </c>
      <c r="M269" s="47">
        <f ca="1">M270+M271</f>
        <v>22320</v>
      </c>
      <c r="N269" s="47">
        <f ca="1">N270+N271</f>
        <v>22320</v>
      </c>
      <c r="O269" s="47">
        <f ca="1">IF(L269&gt;0,N269*100/L269,0)</f>
        <v>446.4</v>
      </c>
      <c r="P269" s="47">
        <f ca="1">IF(M269&gt;0,N269*100/M269,0)</f>
        <v>100</v>
      </c>
      <c r="Q269" s="47">
        <f ca="1">Q270+Q271</f>
        <v>50660</v>
      </c>
      <c r="R269" s="47">
        <f ca="1">R270+R271</f>
        <v>50660</v>
      </c>
      <c r="S269" s="47">
        <f ca="1">S270+S271</f>
        <v>48446</v>
      </c>
      <c r="T269" s="47">
        <f ca="1">IF(Q269&gt;0,S269*100/Q269,0)</f>
        <v>95.62968811685748</v>
      </c>
      <c r="U269" s="47">
        <f ca="1">IF(R269&gt;0,S269*100/R269,0)</f>
        <v>95.62968811685748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548">
        <f ca="1">IFERROR(__xludf.DUMMYFUNCTION("IMPORTRANGE(""https://docs.google.com/spreadsheets/d/1-uDff_7J0KD5mKrp0Vvzr7lt3OU09vwQwhkpOPPYv2Y/edit?usp=sharing"",""งบพรบ!DE82"")"),5000)</f>
        <v>5000</v>
      </c>
      <c r="M271" s="47">
        <f ca="1">IFERROR(__xludf.DUMMYFUNCTION("IMPORTRANGE(""https://docs.google.com/spreadsheets/d/1-uDff_7J0KD5mKrp0Vvzr7lt3OU09vwQwhkpOPPYv2Y/edit?usp=sharing"",""งบพรบ!DJ82"")"),22320)</f>
        <v>22320</v>
      </c>
      <c r="N271" s="47">
        <f ca="1">IFERROR(__xludf.DUMMYFUNCTION("IMPORTRANGE(""https://docs.google.com/spreadsheets/d/1-uDff_7J0KD5mKrp0Vvzr7lt3OU09vwQwhkpOPPYv2Y/edit?usp=sharing"",""งบพรบ!DL82"")"),22320)</f>
        <v>22320</v>
      </c>
      <c r="O271" s="47">
        <f ca="1">IF(L271&gt;0,N271*100/L271,0)</f>
        <v>446.4</v>
      </c>
      <c r="P271" s="47">
        <f ca="1">IF(M271&gt;0,N271*100/M271,0)</f>
        <v>100</v>
      </c>
      <c r="Q271" s="47">
        <f ca="1">IFERROR(__xludf.DUMMYFUNCTION("IMPORTRANGE(""https://docs.google.com/spreadsheets/d/1ItG2mGa2ceCfYo0BwxsXqNm01IGEUdYcSSLTEv9YCik/edit?usp=sharing"",""เบิกจ่ายกองทุน!AP82"")"),50660)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IFERROR(__xludf.DUMMYFUNCTION("IMPORTRANGE(""https://docs.google.com/spreadsheets/d/1ItG2mGa2ceCfYo0BwxsXqNm01IGEUdYcSSLTEv9YCik/edit?usp=sharing"",""เบิกจ่ายกองทุน!AQ82"")"),50660)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IFERROR(__xludf.DUMMYFUNCTION("IMPORTRANGE(""https://docs.google.com/spreadsheets/d/1ItG2mGa2ceCfYo0BwxsXqNm01IGEUdYcSSLTEv9YCik/edit?usp=sharing"",""เบิกจ่ายกองทุน!AR82"")"),48446)</f>
        <v>48446</v>
      </c>
      <c r="T271" s="47">
        <f ca="1">IF(Q271&gt;0,S271*100/Q271,0)</f>
        <v>95.62968811685748</v>
      </c>
      <c r="U271" s="47">
        <f ca="1">IF(R271&gt;0,S271*100/R271,0)</f>
        <v>95.62968811685748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548">
        <f ca="1">L273+L274</f>
        <v>0</v>
      </c>
      <c r="M272" s="47">
        <f ca="1">M273+M274</f>
        <v>0</v>
      </c>
      <c r="N272" s="47">
        <f ca="1">N273+N274</f>
        <v>0</v>
      </c>
      <c r="O272" s="47">
        <f ca="1">IF(L272&gt;0,N272*100/L272,0)</f>
        <v>0</v>
      </c>
      <c r="P272" s="47">
        <f ca="1">IF(M272&gt;0,N272*100/M272,0)</f>
        <v>0</v>
      </c>
      <c r="Q272" s="47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548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ca="1">IF(L274&gt;0,N274*100/L274,0)</f>
        <v>0</v>
      </c>
      <c r="P274" s="47">
        <f ca="1">IF(M274&gt;0,N274*100/M274,0)</f>
        <v>0</v>
      </c>
      <c r="Q274" s="47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558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883"/>
      <c r="B276" s="882"/>
      <c r="C276" s="882"/>
      <c r="D276" s="881" t="s">
        <v>115</v>
      </c>
      <c r="E276" s="880"/>
      <c r="F276" s="880"/>
      <c r="G276" s="879"/>
      <c r="H276" s="878" t="s">
        <v>35</v>
      </c>
      <c r="I276" s="877">
        <f ca="1">IFERROR(__xludf.DUMMYFUNCTION("IMPORTRANGE(""https://docs.google.com/spreadsheets/d/1eHaY18a8A9IcSdp1K8H6x8fbOy06t2VsZHhMHf-1x7Y/edit?usp=sharing"",""แผน!EC82"")"),22)</f>
        <v>22</v>
      </c>
      <c r="J276" s="876">
        <v>0</v>
      </c>
      <c r="K276" s="875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43"/>
      <c r="B277" s="842"/>
      <c r="C277" s="842"/>
      <c r="D277" s="716" t="s">
        <v>116</v>
      </c>
      <c r="E277" s="841"/>
      <c r="F277" s="841"/>
      <c r="G277" s="840"/>
      <c r="H277" s="715" t="s">
        <v>35</v>
      </c>
      <c r="I277" s="498">
        <v>0</v>
      </c>
      <c r="J277" s="498">
        <v>0</v>
      </c>
      <c r="K277" s="714">
        <v>0</v>
      </c>
      <c r="L277" s="885"/>
      <c r="M277" s="884"/>
      <c r="N277" s="884"/>
      <c r="O277" s="884"/>
      <c r="P277" s="884"/>
      <c r="Q277" s="884"/>
      <c r="R277" s="884"/>
      <c r="S277" s="884"/>
      <c r="T277" s="884"/>
      <c r="U277" s="884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IFERROR(__xludf.DUMMYFUNCTION("IMPORTRANGE(""https://docs.google.com/spreadsheets/d/1eHaY18a8A9IcSdp1K8H6x8fbOy06t2VsZHhMHf-1x7Y/edit?usp=sharing"",""แผน!EE82"")"),0)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IFERROR(__xludf.DUMMYFUNCTION("IMPORTRANGE(""https://docs.google.com/spreadsheets/d/1eHaY18a8A9IcSdp1K8H6x8fbOy06t2VsZHhMHf-1x7Y/edit?usp=sharing"",""แผน!ED82"")"),0)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IFERROR(__xludf.DUMMYFUNCTION("IMPORTRANGE(""https://docs.google.com/spreadsheets/d/1eHaY18a8A9IcSdp1K8H6x8fbOy06t2VsZHhMHf-1x7Y/edit?usp=sharing"",""แผน!ED82"")"),0)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9" t="s">
        <v>310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15</v>
      </c>
      <c r="J302" s="310">
        <f>J314</f>
        <v>15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162475</v>
      </c>
      <c r="M303" s="132">
        <f ca="1">M304+M305</f>
        <v>162475</v>
      </c>
      <c r="N303" s="132">
        <f ca="1">N304+N305</f>
        <v>137884.29</v>
      </c>
      <c r="O303" s="132">
        <f ca="1">IF(L303&gt;0,N303*100/L303,0)</f>
        <v>84.864926911832583</v>
      </c>
      <c r="P303" s="132">
        <f ca="1">IF(M303&gt;0,N303*100/M303,0)</f>
        <v>84.864926911832583</v>
      </c>
      <c r="Q303" s="132">
        <f ca="1">Q304+Q305</f>
        <v>123161.24</v>
      </c>
      <c r="R303" s="132">
        <f ca="1">R304+R305</f>
        <v>123161</v>
      </c>
      <c r="S303" s="132">
        <f ca="1">S304+S305</f>
        <v>43550</v>
      </c>
      <c r="T303" s="132">
        <f ca="1">IF(Q303&gt;0,S303*100/Q303,0)</f>
        <v>35.360150644797017</v>
      </c>
      <c r="U303" s="132">
        <f ca="1">IF(R303&gt;0,S303*100/R303,0)</f>
        <v>35.360219550019892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162475</v>
      </c>
      <c r="M305" s="47">
        <f ca="1">M308+M311</f>
        <v>162475</v>
      </c>
      <c r="N305" s="47">
        <f ca="1">N308+N311</f>
        <v>137884.29</v>
      </c>
      <c r="O305" s="47">
        <f ca="1">IF(L305&gt;0,N305*100/L305,0)</f>
        <v>84.864926911832583</v>
      </c>
      <c r="P305" s="47">
        <f ca="1">IF(M305&gt;0,N305*100/M305,0)</f>
        <v>84.864926911832583</v>
      </c>
      <c r="Q305" s="47">
        <f ca="1">Q308+Q311</f>
        <v>123161.24</v>
      </c>
      <c r="R305" s="47">
        <f ca="1">R308+R311</f>
        <v>123161</v>
      </c>
      <c r="S305" s="47">
        <f ca="1">S308+S311</f>
        <v>43550</v>
      </c>
      <c r="T305" s="47">
        <f ca="1">IF(Q305&gt;0,S305*100/Q305,0)</f>
        <v>35.360150644797017</v>
      </c>
      <c r="U305" s="47">
        <f ca="1">IF(R305&gt;0,S305*100/R305,0)</f>
        <v>35.360219550019892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162475</v>
      </c>
      <c r="M306" s="47">
        <f ca="1">M307+M308</f>
        <v>162475</v>
      </c>
      <c r="N306" s="47">
        <f ca="1">N307+N308</f>
        <v>137884.29</v>
      </c>
      <c r="O306" s="47">
        <f ca="1">IF(L306&gt;0,N306*100/L306,0)</f>
        <v>84.864926911832583</v>
      </c>
      <c r="P306" s="47">
        <f ca="1">IF(M306&gt;0,N306*100/M306,0)</f>
        <v>84.864926911832583</v>
      </c>
      <c r="Q306" s="47">
        <f ca="1">Q307+Q308</f>
        <v>123161.24</v>
      </c>
      <c r="R306" s="47">
        <f ca="1">R307+R308</f>
        <v>123161</v>
      </c>
      <c r="S306" s="47">
        <f ca="1">S307+S308</f>
        <v>43550</v>
      </c>
      <c r="T306" s="47">
        <f ca="1">IF(Q306&gt;0,S306*100/Q306,0)</f>
        <v>35.360150644797017</v>
      </c>
      <c r="U306" s="47">
        <f ca="1">IF(R306&gt;0,S306*100/R306,0)</f>
        <v>35.360219550019892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IFERROR(__xludf.DUMMYFUNCTION("IMPORTRANGE(""https://docs.google.com/spreadsheets/d/1-uDff_7J0KD5mKrp0Vvzr7lt3OU09vwQwhkpOPPYv2Y/edit?usp=sharing"",""งบพรบ!DY82"")"),162475)</f>
        <v>162475</v>
      </c>
      <c r="M308" s="47">
        <f ca="1">IFERROR(__xludf.DUMMYFUNCTION("IMPORTRANGE(""https://docs.google.com/spreadsheets/d/1-uDff_7J0KD5mKrp0Vvzr7lt3OU09vwQwhkpOPPYv2Y/edit?usp=sharing"",""งบพรบ!ED82"")"),162475)</f>
        <v>162475</v>
      </c>
      <c r="N308" s="47">
        <f ca="1">IFERROR(__xludf.DUMMYFUNCTION("IMPORTRANGE(""https://docs.google.com/spreadsheets/d/1-uDff_7J0KD5mKrp0Vvzr7lt3OU09vwQwhkpOPPYv2Y/edit?usp=sharing"",""งบพรบ!EF82"")"),137884.29)</f>
        <v>137884.29</v>
      </c>
      <c r="O308" s="47">
        <f ca="1">IF(L308&gt;0,N308*100/L308,0)</f>
        <v>84.864926911832583</v>
      </c>
      <c r="P308" s="47">
        <f ca="1">IF(M308&gt;0,N308*100/M308,0)</f>
        <v>84.864926911832583</v>
      </c>
      <c r="Q308" s="47">
        <f ca="1">IFERROR(__xludf.DUMMYFUNCTION("IMPORTRANGE(""https://docs.google.com/spreadsheets/d/1ItG2mGa2ceCfYo0BwxsXqNm01IGEUdYcSSLTEv9YCik/edit?usp=sharing"",""เบิกจ่ายกองทุน!BB82"")"),123161.24)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IFERROR(__xludf.DUMMYFUNCTION("IMPORTRANGE(""https://docs.google.com/spreadsheets/d/1ItG2mGa2ceCfYo0BwxsXqNm01IGEUdYcSSLTEv9YCik/edit?usp=sharing"",""เบิกจ่ายกองทุน!BC82"")"),123161)</f>
        <v>123161</v>
      </c>
      <c r="S308" s="47">
        <f ca="1">IFERROR(__xludf.DUMMYFUNCTION("IMPORTRANGE(""https://docs.google.com/spreadsheets/d/1ItG2mGa2ceCfYo0BwxsXqNm01IGEUdYcSSLTEv9YCik/edit?usp=sharing"",""เบิกจ่ายกองทุน!BD82"")"),43550)</f>
        <v>43550</v>
      </c>
      <c r="T308" s="47">
        <f ca="1">IF(Q308&gt;0,S308*100/Q308,0)</f>
        <v>35.360150644797017</v>
      </c>
      <c r="U308" s="47">
        <f ca="1">IF(R308&gt;0,S308*100/R308,0)</f>
        <v>35.360219550019892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IFERROR(__xludf.DUMMYFUNCTION("IMPORTRANGE(""https://docs.google.com/spreadsheets/d/1eHaY18a8A9IcSdp1K8H6x8fbOy06t2VsZHhMHf-1x7Y/edit?usp=sharing"",""แผน!EF82"")"),15)</f>
        <v>15</v>
      </c>
      <c r="J314" s="167">
        <v>15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IFERROR(__xludf.DUMMYFUNCTION("IMPORTRANGE(""https://docs.google.com/spreadsheets/d/1eHaY18a8A9IcSdp1K8H6x8fbOy06t2VsZHhMHf-1x7Y/edit?usp=sharing"",""แผน!EJ82"")"),0)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800</v>
      </c>
      <c r="J332" s="697">
        <f ca="1">J344+J347+J348+J349+J353</f>
        <v>4682</v>
      </c>
      <c r="K332" s="696">
        <f ca="1">IF(I332&gt;0,J332*100/I332,0)</f>
        <v>585.25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177000</v>
      </c>
      <c r="M333" s="132">
        <f ca="1">M334+M335</f>
        <v>177000</v>
      </c>
      <c r="N333" s="132">
        <f ca="1">N334+N335</f>
        <v>104233.24</v>
      </c>
      <c r="O333" s="132">
        <f ca="1">IF(L333&gt;0,N333*100/L333,0)</f>
        <v>58.888836158192092</v>
      </c>
      <c r="P333" s="132">
        <f ca="1">IF(M333&gt;0,N333*100/M333,0)</f>
        <v>58.888836158192092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177000</v>
      </c>
      <c r="M335" s="47">
        <f ca="1">M338+M341</f>
        <v>177000</v>
      </c>
      <c r="N335" s="47">
        <f ca="1">N338+N341</f>
        <v>104233.24</v>
      </c>
      <c r="O335" s="47">
        <f ca="1">IF(L335&gt;0,N335*100/L335,0)</f>
        <v>58.888836158192092</v>
      </c>
      <c r="P335" s="47">
        <f ca="1">IF(M335&gt;0,N335*100/M335,0)</f>
        <v>58.888836158192092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177000</v>
      </c>
      <c r="M336" s="47">
        <f ca="1">M337+M338</f>
        <v>177000</v>
      </c>
      <c r="N336" s="47">
        <f ca="1">N337+N338</f>
        <v>104233.24</v>
      </c>
      <c r="O336" s="47">
        <f ca="1">IF(L336&gt;0,N336*100/L336,0)</f>
        <v>58.888836158192092</v>
      </c>
      <c r="P336" s="47">
        <f ca="1">IF(M336&gt;0,N336*100/M336,0)</f>
        <v>58.888836158192092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IFERROR(__xludf.DUMMYFUNCTION("IMPORTRANGE(""https://docs.google.com/spreadsheets/d/1-uDff_7J0KD5mKrp0Vvzr7lt3OU09vwQwhkpOPPYv2Y/edit?usp=sharing"",""งบพรบ!ES82"")"),177000)</f>
        <v>177000</v>
      </c>
      <c r="M338" s="47">
        <f ca="1">IFERROR(__xludf.DUMMYFUNCTION("IMPORTRANGE(""https://docs.google.com/spreadsheets/d/1-uDff_7J0KD5mKrp0Vvzr7lt3OU09vwQwhkpOPPYv2Y/edit?usp=sharing"",""งบพรบ!EX82"")"),177000)</f>
        <v>177000</v>
      </c>
      <c r="N338" s="47">
        <f ca="1">IFERROR(__xludf.DUMMYFUNCTION("IMPORTRANGE(""https://docs.google.com/spreadsheets/d/1-uDff_7J0KD5mKrp0Vvzr7lt3OU09vwQwhkpOPPYv2Y/edit?usp=sharing"",""งบพรบ!EZ82"")"),104233.24)</f>
        <v>104233.24</v>
      </c>
      <c r="O338" s="47">
        <f ca="1">IF(L338&gt;0,N338*100/L338,0)</f>
        <v>58.888836158192092</v>
      </c>
      <c r="P338" s="47">
        <f ca="1">IF(M338&gt;0,N338*100/M338,0)</f>
        <v>58.888836158192092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2823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IFERROR(__xludf.DUMMYFUNCTION("IMPORTRANGE(""https://docs.google.com/spreadsheets/d/1eHaY18a8A9IcSdp1K8H6x8fbOy06t2VsZHhMHf-1x7Y/edit?usp=sharing"",""แผน!EK82"")"),800)</f>
        <v>800</v>
      </c>
      <c r="J344" s="152">
        <f ca="1">IFERROR(__xludf.DUMMYFUNCTION("IMPORTRANGE(""https://docs.google.com/spreadsheets/d/1awYsYK3VOup2i3Pq_Yjnu8DRu_mYwSBnCR2QPthd0rU/edit?usp=sharing"",""ศูนย์ยกเว้นโฉนด!D82"")"),2823)</f>
        <v>2823</v>
      </c>
      <c r="K344" s="47">
        <f ca="1">IF(I344&gt;0,J344*100/I344,0)</f>
        <v>352.875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IFERROR(__xludf.DUMMYFUNCTION("IMPORTRANGE(""https://docs.google.com/spreadsheets/d/1eHaY18a8A9IcSdp1K8H6x8fbOy06t2VsZHhMHf-1x7Y/edit?usp=sharing"",""แผน!EL82"")"),1)</f>
        <v>1</v>
      </c>
      <c r="J346" s="15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1969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IFERROR(__xludf.DUMMYFUNCTION("IMPORTRANGE(""https://docs.google.com/spreadsheets/d/1awYsYK3VOup2i3Pq_Yjnu8DRu_mYwSBnCR2QPthd0rU/edit?usp=sharing"",""โฉนดM3!G82"")"),110)</f>
        <v>110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IFERROR(__xludf.DUMMYFUNCTION("IMPORTRANGE(""https://docs.google.com/spreadsheets/d/1awYsYK3VOup2i3Pq_Yjnu8DRu_mYwSBnCR2QPthd0rU/edit?usp=sharing"",""โฉนดM3!H82"")"),1859)</f>
        <v>1859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17 ก.ค. 67 เวลา 09.28 น.]")</f>
        <v xml:space="preserve"> [ข้อมูลจาก ระบบศูนย์บริการประชาชน ข้อมูล ณ 17 ก.ค. 67 เวลา 09.28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430070</v>
      </c>
      <c r="M356" s="132">
        <f ca="1">M357+M358</f>
        <v>491070</v>
      </c>
      <c r="N356" s="132">
        <f ca="1">N357+N358</f>
        <v>224802.69</v>
      </c>
      <c r="O356" s="132">
        <f ca="1">IF(L356&gt;0,N356*100/L356,0)</f>
        <v>52.271186085986002</v>
      </c>
      <c r="P356" s="132">
        <f ca="1">IF(M356&gt;0,N356*100/M356,0)</f>
        <v>45.778135500030544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430070</v>
      </c>
      <c r="M358" s="47">
        <f ca="1">M361+M364</f>
        <v>491070</v>
      </c>
      <c r="N358" s="47">
        <f ca="1">N361+N364</f>
        <v>224802.69</v>
      </c>
      <c r="O358" s="47">
        <f ca="1">IF(L358&gt;0,N358*100/L358,0)</f>
        <v>52.271186085986002</v>
      </c>
      <c r="P358" s="47">
        <f ca="1">IF(M358&gt;0,N358*100/M358,0)</f>
        <v>45.778135500030544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430070</v>
      </c>
      <c r="M359" s="47">
        <f ca="1">M360+M361</f>
        <v>491070</v>
      </c>
      <c r="N359" s="47">
        <f ca="1">N360+N361</f>
        <v>224802.69</v>
      </c>
      <c r="O359" s="47">
        <f ca="1">IF(L359&gt;0,N359*100/L359,0)</f>
        <v>52.271186085986002</v>
      </c>
      <c r="P359" s="47">
        <f ca="1">IF(M359&gt;0,N359*100/M359,0)</f>
        <v>45.778135500030544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IFERROR(__xludf.DUMMYFUNCTION("IMPORTRANGE(""https://docs.google.com/spreadsheets/d/1-uDff_7J0KD5mKrp0Vvzr7lt3OU09vwQwhkpOPPYv2Y/edit?usp=sharing"",""งบพรบ!FC82"")"),430070)</f>
        <v>430070</v>
      </c>
      <c r="M361" s="47">
        <f ca="1">IFERROR(__xludf.DUMMYFUNCTION("IMPORTRANGE(""https://docs.google.com/spreadsheets/d/1-uDff_7J0KD5mKrp0Vvzr7lt3OU09vwQwhkpOPPYv2Y/edit?usp=sharing"",""งบพรบ!FH82"")"),491070)</f>
        <v>491070</v>
      </c>
      <c r="N361" s="47">
        <f ca="1">IFERROR(__xludf.DUMMYFUNCTION("IMPORTRANGE(""https://docs.google.com/spreadsheets/d/1-uDff_7J0KD5mKrp0Vvzr7lt3OU09vwQwhkpOPPYv2Y/edit?usp=sharing"",""งบพรบ!FJ82"")"),224802.69)</f>
        <v>224802.69</v>
      </c>
      <c r="O361" s="47">
        <f ca="1">IF(L361&gt;0,N361*100/L361,0)</f>
        <v>52.271186085986002</v>
      </c>
      <c r="P361" s="47">
        <f ca="1">IF(M361&gt;0,N361*100/M361,0)</f>
        <v>45.778135500030544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250</v>
      </c>
      <c r="J365" s="228">
        <f ca="1">J371</f>
        <v>148</v>
      </c>
      <c r="K365" s="229">
        <f ca="1">IF(I365&gt;0,J365*100/I365,0)</f>
        <v>59.2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IFERROR(__xludf.DUMMYFUNCTION("IMPORTRANGE(""https://docs.google.com/spreadsheets/d/1tdoBKaGub7dwA3U6UFTqxio9LNnvDCQjHKmttSEBsFQ/edit?usp=sharing"",""จัดที่ดิน!AB82"")"),74)</f>
        <v>74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IFERROR(__xludf.DUMMYFUNCTION("IMPORTRANGE(""https://docs.google.com/spreadsheets/d/1eHaY18a8A9IcSdp1K8H6x8fbOy06t2VsZHhMHf-1x7Y/edit?usp=sharing"",""แผน!EW82"")"),680)</f>
        <v>680</v>
      </c>
      <c r="J368" s="685">
        <f ca="1">IFERROR(__xludf.DUMMYFUNCTION("IMPORTRANGE(""https://docs.google.com/spreadsheets/d/1tdoBKaGub7dwA3U6UFTqxio9LNnvDCQjHKmttSEBsFQ/edit?usp=sharing"",""จัดที่ดิน!AC82"")"),298.06)</f>
        <v>298.06</v>
      </c>
      <c r="K368" s="47">
        <f ca="1">IF(I368&gt;0,J368*100/I368,0)</f>
        <v>43.832352941176474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IFERROR(__xludf.DUMMYFUNCTION("IMPORTRANGE(""https://docs.google.com/spreadsheets/d/1eHaY18a8A9IcSdp1K8H6x8fbOy06t2VsZHhMHf-1x7Y/edit?usp=sharing"",""แผน!EX82"")"),250)</f>
        <v>250</v>
      </c>
      <c r="J369" s="152">
        <f ca="1">IFERROR(__xludf.DUMMYFUNCTION("IMPORTRANGE(""https://docs.google.com/spreadsheets/d/1tdoBKaGub7dwA3U6UFTqxio9LNnvDCQjHKmttSEBsFQ/edit?usp=sharing"",""จัดที่ดิน!AD82"")"),187)</f>
        <v>187</v>
      </c>
      <c r="K369" s="47">
        <f ca="1">IF(I369&gt;0,J369*100/I369,0)</f>
        <v>74.8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IFERROR(__xludf.DUMMYFUNCTION("IMPORTRANGE(""https://docs.google.com/spreadsheets/d/1tdoBKaGub7dwA3U6UFTqxio9LNnvDCQjHKmttSEBsFQ/edit?usp=sharing"",""จัดที่ดิน!AE82"")"),1451.52)</f>
        <v>1451.52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IFERROR(__xludf.DUMMYFUNCTION("IMPORTRANGE(""https://docs.google.com/spreadsheets/d/1eHaY18a8A9IcSdp1K8H6x8fbOy06t2VsZHhMHf-1x7Y/edit?usp=sharing"",""แผน!EY82"")"),250)</f>
        <v>250</v>
      </c>
      <c r="J371" s="152">
        <f ca="1">IFERROR(__xludf.DUMMYFUNCTION("IMPORTRANGE(""https://docs.google.com/spreadsheets/d/1tdoBKaGub7dwA3U6UFTqxio9LNnvDCQjHKmttSEBsFQ/edit?usp=sharing"",""จัดที่ดิน!AF82"")"),148)</f>
        <v>148</v>
      </c>
      <c r="K371" s="47">
        <f ca="1">IF(I371&gt;0,J371*100/I371,0)</f>
        <v>59.2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IFERROR(__xludf.DUMMYFUNCTION("IMPORTRANGE(""https://docs.google.com/spreadsheets/d/1tdoBKaGub7dwA3U6UFTqxio9LNnvDCQjHKmttSEBsFQ/edit?usp=sharing"",""จัดที่ดิน!AG82"")"),1287.92)</f>
        <v>1287.92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ก.ค. 67 เวลา 07.35 น.]")</f>
        <v xml:space="preserve"> [ข้อมูลจาก ระบบ ALRO Land Online ข้อมูล ณ 17 ก.ค. 67 เวลา 07.35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hidden="1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I385</f>
        <v>0</v>
      </c>
      <c r="J374" s="677">
        <f>J385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hidden="1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0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0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hidden="1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0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IFERROR(__xludf.DUMMYFUNCTION("IMPORTRANGE(""https://docs.google.com/spreadsheets/d/1-uDff_7J0KD5mKrp0Vvzr7lt3OU09vwQwhkpOPPYv2Y/edit?usp=sharing"",""งบพรบ!IE82"")"),0)</f>
        <v>0</v>
      </c>
      <c r="M380" s="47">
        <f ca="1">IFERROR(__xludf.DUMMYFUNCTION("IMPORTRANGE(""https://docs.google.com/spreadsheets/d/1-uDff_7J0KD5mKrp0Vvzr7lt3OU09vwQwhkpOPPYv2Y/edit?usp=sharing"",""งบพรบ!IJ82"")"),0)</f>
        <v>0</v>
      </c>
      <c r="N380" s="47">
        <f ca="1">IFERROR(__xludf.DUMMYFUNCTION("IMPORTRANGE(""https://docs.google.com/spreadsheets/d/1-uDff_7J0KD5mKrp0Vvzr7lt3OU09vwQwhkpOPPYv2Y/edit?usp=sharing"",""งบพรบ!IL82"")"),0)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IFERROR(__xludf.DUMMYFUNCTION("IMPORTRANGE(""https://docs.google.com/spreadsheets/d/1ItG2mGa2ceCfYo0BwxsXqNm01IGEUdYcSSLTEv9YCik/edit?usp=sharing"",""เบิกจ่ายกองทุน!BX82"")"),0)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IFERROR(__xludf.DUMMYFUNCTION("IMPORTRANGE(""https://docs.google.com/spreadsheets/d/1ItG2mGa2ceCfYo0BwxsXqNm01IGEUdYcSSLTEv9YCik/edit?usp=sharing"",""เบิกจ่ายกองทุน!BY82"")"),0)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hidden="1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IFERROR(__xludf.DUMMYFUNCTION("IMPORTRANGE(""https://docs.google.com/spreadsheets/d/1-uDff_7J0KD5mKrp0Vvzr7lt3OU09vwQwhkpOPPYv2Y/edit?usp=sharing"",""งบพรบ!IH82"")"),0)</f>
        <v>0</v>
      </c>
      <c r="M383" s="47">
        <f ca="1">IFERROR(__xludf.DUMMYFUNCTION("IMPORTRANGE(""https://docs.google.com/spreadsheets/d/1-uDff_7J0KD5mKrp0Vvzr7lt3OU09vwQwhkpOPPYv2Y/edit?usp=sharing"",""งบพรบ!IK82"")"),0)</f>
        <v>0</v>
      </c>
      <c r="N383" s="47">
        <f ca="1">IFERROR(__xludf.DUMMYFUNCTION("IMPORTRANGE(""https://docs.google.com/spreadsheets/d/1-uDff_7J0KD5mKrp0Vvzr7lt3OU09vwQwhkpOPPYv2Y/edit?usp=sharing"",""งบพรบ!IM82"")"),0)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hidden="1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hidden="1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IFERROR(__xludf.DUMMYFUNCTION("IMPORTRANGE(""https://docs.google.com/spreadsheets/d/1eHaY18a8A9IcSdp1K8H6x8fbOy06t2VsZHhMHf-1x7Y/edit?usp=sharing"",""แผน!JQ82"")"),0)</f>
        <v>0</v>
      </c>
      <c r="J385" s="152">
        <v>0</v>
      </c>
      <c r="K385" s="47">
        <f ca="1"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hidden="1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217"/>
      <c r="B387" s="159"/>
      <c r="C387" s="159"/>
      <c r="D387" s="159"/>
      <c r="E387" s="345" t="s">
        <v>155</v>
      </c>
      <c r="F387" s="159"/>
      <c r="G387" s="191"/>
      <c r="H387" s="158" t="s">
        <v>34</v>
      </c>
      <c r="I387" s="495">
        <v>0</v>
      </c>
      <c r="J387" s="495">
        <v>0</v>
      </c>
      <c r="K387" s="49">
        <f>IF(I387&gt;0,J387*100/I387,0)</f>
        <v>0</v>
      </c>
      <c r="L387" s="5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217"/>
      <c r="B388" s="159"/>
      <c r="C388" s="159"/>
      <c r="D388" s="159"/>
      <c r="E388" s="159"/>
      <c r="F388" s="159"/>
      <c r="G388" s="191"/>
      <c r="H388" s="158" t="s">
        <v>46</v>
      </c>
      <c r="I388" s="495">
        <v>0</v>
      </c>
      <c r="J388" s="495">
        <v>0</v>
      </c>
      <c r="K388" s="49">
        <f>IF(I388&gt;0,J388*100/I388,0)</f>
        <v>0</v>
      </c>
      <c r="L388" s="5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>
        <v>0</v>
      </c>
      <c r="J389" s="246">
        <v>0</v>
      </c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>
        <v>0</v>
      </c>
      <c r="J390" s="335">
        <v>0</v>
      </c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IFERROR(__xludf.DUMMYFUNCTION("IMPORTRANGE(""https://docs.google.com/spreadsheets/d/1ItG2mGa2ceCfYo0BwxsXqNm01IGEUdYcSSLTEv9YCik/edit?usp=sharing"",""เบิกจ่ายกองทุน!CL82"")"),0)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IFERROR(__xludf.DUMMYFUNCTION("IMPORTRANGE(""https://docs.google.com/spreadsheets/d/1ItG2mGa2ceCfYo0BwxsXqNm01IGEUdYcSSLTEv9YCik/edit?usp=sharing"",""เบิกจ่ายกองทุน!CM82"")"),0)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IFERROR(__xludf.DUMMYFUNCTION("IMPORTRANGE(""https://docs.google.com/spreadsheets/d/1ItG2mGa2ceCfYo0BwxsXqNm01IGEUdYcSSLTEv9YCik/edit?usp=sharing"",""เบิกจ่ายกองทุน!CN82"")"),0)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40030</v>
      </c>
      <c r="M413" s="132">
        <f ca="1">M414+M415</f>
        <v>40030</v>
      </c>
      <c r="N413" s="132">
        <f ca="1">N414+N415</f>
        <v>13219.93</v>
      </c>
      <c r="O413" s="132">
        <f ca="1">IF(L413&gt;0,N413*100/L413,0)</f>
        <v>33.025056207844116</v>
      </c>
      <c r="P413" s="132">
        <f ca="1">IF(M413&gt;0,N413*100/M413,0)</f>
        <v>33.025056207844116</v>
      </c>
      <c r="Q413" s="132">
        <f ca="1">Q414+Q415</f>
        <v>15820</v>
      </c>
      <c r="R413" s="132">
        <f ca="1">R414+R415</f>
        <v>15820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40030</v>
      </c>
      <c r="M415" s="47">
        <f ca="1">M418+M421</f>
        <v>40030</v>
      </c>
      <c r="N415" s="47">
        <f ca="1">N418+N421</f>
        <v>13219.93</v>
      </c>
      <c r="O415" s="47">
        <f ca="1">IF(L415&gt;0,N415*100/L415,0)</f>
        <v>33.025056207844116</v>
      </c>
      <c r="P415" s="47">
        <f ca="1">IF(M415&gt;0,N415*100/M415,0)</f>
        <v>33.025056207844116</v>
      </c>
      <c r="Q415" s="47">
        <f ca="1">Q418+Q421</f>
        <v>15820</v>
      </c>
      <c r="R415" s="47">
        <f ca="1">R418+R421</f>
        <v>15820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40030</v>
      </c>
      <c r="M416" s="47">
        <f ca="1">M417+M418</f>
        <v>40030</v>
      </c>
      <c r="N416" s="47">
        <f ca="1">N417+N418</f>
        <v>13219.93</v>
      </c>
      <c r="O416" s="47">
        <f ca="1">IF(L416&gt;0,N416*100/L416,0)</f>
        <v>33.025056207844116</v>
      </c>
      <c r="P416" s="47">
        <f ca="1">IF(M416&gt;0,N416*100/M416,0)</f>
        <v>33.025056207844116</v>
      </c>
      <c r="Q416" s="47">
        <f ca="1">Q417+Q418</f>
        <v>15820</v>
      </c>
      <c r="R416" s="47">
        <f ca="1">R417+R418</f>
        <v>15820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IFERROR(__xludf.DUMMYFUNCTION("IMPORTRANGE(""https://docs.google.com/spreadsheets/d/1-uDff_7J0KD5mKrp0Vvzr7lt3OU09vwQwhkpOPPYv2Y/edit?usp=sharing"",""งบพรบ!IO82"")"),40030)</f>
        <v>40030</v>
      </c>
      <c r="M418" s="47">
        <f ca="1">IFERROR(__xludf.DUMMYFUNCTION("IMPORTRANGE(""https://docs.google.com/spreadsheets/d/1-uDff_7J0KD5mKrp0Vvzr7lt3OU09vwQwhkpOPPYv2Y/edit?usp=sharing"",""งบพรบ!IT82"")"),40030)</f>
        <v>40030</v>
      </c>
      <c r="N418" s="47">
        <f ca="1">IFERROR(__xludf.DUMMYFUNCTION("IMPORTRANGE(""https://docs.google.com/spreadsheets/d/1-uDff_7J0KD5mKrp0Vvzr7lt3OU09vwQwhkpOPPYv2Y/edit?usp=sharing"",""งบพรบ!IV82"")"),13219.93)</f>
        <v>13219.93</v>
      </c>
      <c r="O418" s="47">
        <f ca="1">IF(L418&gt;0,N418*100/L418,0)</f>
        <v>33.025056207844116</v>
      </c>
      <c r="P418" s="47">
        <f ca="1">IF(M418&gt;0,N418*100/M418,0)</f>
        <v>33.025056207844116</v>
      </c>
      <c r="Q418" s="47">
        <f ca="1">IFERROR(__xludf.DUMMYFUNCTION("IMPORTRANGE(""https://docs.google.com/spreadsheets/d/1ItG2mGa2ceCfYo0BwxsXqNm01IGEUdYcSSLTEv9YCik/edit?usp=sharing"",""เบิกจ่ายกองทุน!BZ82"")"),15820)</f>
        <v>15820</v>
      </c>
      <c r="R418" s="47">
        <f ca="1">IFERROR(__xludf.DUMMYFUNCTION("IMPORTRANGE(""https://docs.google.com/spreadsheets/d/1ItG2mGa2ceCfYo0BwxsXqNm01IGEUdYcSSLTEv9YCik/edit?usp=sharing"",""เบิกจ่ายกองทุน!CA82"")"),15820)</f>
        <v>15820</v>
      </c>
      <c r="S418" s="47">
        <f ca="1">IFERROR(__xludf.DUMMYFUNCTION("IMPORTRANGE(""https://docs.google.com/spreadsheets/d/1ItG2mGa2ceCfYo0BwxsXqNm01IGEUdYcSSLTEv9YCik/edit?usp=sharing"",""เบิกจ่ายกองทุน!CB82"")"),0)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IFERROR(__xludf.DUMMYFUNCTION("IMPORTRANGE(""https://docs.google.com/spreadsheets/d/1-uDff_7J0KD5mKrp0Vvzr7lt3OU09vwQwhkpOPPYv2Y/edit?usp=sharing"",""งบพรบ!IR82"")"),0)</f>
        <v>0</v>
      </c>
      <c r="M421" s="47">
        <f ca="1">IFERROR(__xludf.DUMMYFUNCTION("IMPORTRANGE(""https://docs.google.com/spreadsheets/d/1-uDff_7J0KD5mKrp0Vvzr7lt3OU09vwQwhkpOPPYv2Y/edit?usp=sharing"",""งบพรบ!IU82"")"),0)</f>
        <v>0</v>
      </c>
      <c r="N421" s="47">
        <f ca="1">IFERROR(__xludf.DUMMYFUNCTION("IMPORTRANGE(""https://docs.google.com/spreadsheets/d/1-uDff_7J0KD5mKrp0Vvzr7lt3OU09vwQwhkpOPPYv2Y/edit?usp=sharing"",""งบพรบ!IW82"")"),0)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IFERROR(__xludf.DUMMYFUNCTION("IMPORTRANGE(""https://docs.google.com/spreadsheets/d/1eHaY18a8A9IcSdp1K8H6x8fbOy06t2VsZHhMHf-1x7Y/edit?usp=sharing"",""แผน!HJ82"")"),0)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IFERROR(__xludf.DUMMYFUNCTION("IMPORTRANGE(""https://docs.google.com/spreadsheets/d/1eHaY18a8A9IcSdp1K8H6x8fbOy06t2VsZHhMHf-1x7Y/edit?usp=sharing"",""แผน!HK82"")"),0)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IFERROR(__xludf.DUMMYFUNCTION("IMPORTRANGE(""https://docs.google.com/spreadsheets/d/1eHaY18a8A9IcSdp1K8H6x8fbOy06t2VsZHhMHf-1x7Y/edit?usp=sharing"",""แผน!HJ82"")"),0)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IFERROR(__xludf.DUMMYFUNCTION("IMPORTRANGE(""https://docs.google.com/spreadsheets/d/1eHaY18a8A9IcSdp1K8H6x8fbOy06t2VsZHhMHf-1x7Y/edit?usp=sharing"",""แผน!HK82"")"),0)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IFERROR(__xludf.DUMMYFUNCTION("IMPORTRANGE(""https://docs.google.com/spreadsheets/d/1eHaY18a8A9IcSdp1K8H6x8fbOy06t2VsZHhMHf-1x7Y/edit?usp=sharing"",""แผน!HJ82"")"),0)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IFERROR(__xludf.DUMMYFUNCTION("IMPORTRANGE(""https://docs.google.com/spreadsheets/d/1eHaY18a8A9IcSdp1K8H6x8fbOy06t2VsZHhMHf-1x7Y/edit?usp=sharing"",""แผน!HK82"")"),0)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113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IFERROR(__xludf.DUMMYFUNCTION("IMPORTRANGE(""https://docs.google.com/spreadsheets/d/1eHaY18a8A9IcSdp1K8H6x8fbOy06t2VsZHhMHf-1x7Y/edit?usp=sharing"",""แผน!HL82"")"),113)</f>
        <v>113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IFERROR(__xludf.DUMMYFUNCTION("IMPORTRANGE(""https://docs.google.com/spreadsheets/d/1eHaY18a8A9IcSdp1K8H6x8fbOy06t2VsZHhMHf-1x7Y/edit?usp=sharing"",""แผน!HM82"")"),0)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9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IFERROR(__xludf.DUMMYFUNCTION("IMPORTRANGE(""https://docs.google.com/spreadsheets/d/1-uDff_7J0KD5mKrp0Vvzr7lt3OU09vwQwhkpOPPYv2Y/edit?usp=sharing"",""งบพรบ!HU82"")"),0)</f>
        <v>0</v>
      </c>
      <c r="M498" s="47">
        <f ca="1">IFERROR(__xludf.DUMMYFUNCTION("IMPORTRANGE(""https://docs.google.com/spreadsheets/d/1-uDff_7J0KD5mKrp0Vvzr7lt3OU09vwQwhkpOPPYv2Y/edit?usp=sharing"",""งบพรบ!HZ82"")"),0)</f>
        <v>0</v>
      </c>
      <c r="N498" s="47">
        <f ca="1">IFERROR(__xludf.DUMMYFUNCTION("IMPORTRANGE(""https://docs.google.com/spreadsheets/d/1-uDff_7J0KD5mKrp0Vvzr7lt3OU09vwQwhkpOPPYv2Y/edit?usp=sharing"",""งบพรบ!IB82"")"),0)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IFERROR(__xludf.DUMMYFUNCTION("IMPORTRANGE(""https://docs.google.com/spreadsheets/d/1ItG2mGa2ceCfYo0BwxsXqNm01IGEUdYcSSLTEv9YCik/edit?usp=sharing"",""เบิกจ่ายกองทุน!AF82"")"),0)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IFERROR(__xludf.DUMMYFUNCTION("IMPORTRANGE(""https://docs.google.com/spreadsheets/d/1-uDff_7J0KD5mKrp0Vvzr7lt3OU09vwQwhkpOPPYv2Y/edit?usp=sharing"",""งบพรบ!HX82"")"),0)</f>
        <v>0</v>
      </c>
      <c r="M501" s="47">
        <f ca="1">IFERROR(__xludf.DUMMYFUNCTION("IMPORTRANGE(""https://docs.google.com/spreadsheets/d/1-uDff_7J0KD5mKrp0Vvzr7lt3OU09vwQwhkpOPPYv2Y/edit?usp=sharing"",""งบพรบ!IA82"")"),0)</f>
        <v>0</v>
      </c>
      <c r="N501" s="47">
        <f ca="1">IFERROR(__xludf.DUMMYFUNCTION("IMPORTRANGE(""https://docs.google.com/spreadsheets/d/1-uDff_7J0KD5mKrp0Vvzr7lt3OU09vwQwhkpOPPYv2Y/edit?usp=sharing"",""งบพรบ!IC82"")"),0)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IFERROR(__xludf.DUMMYFUNCTION("IMPORTRANGE(""https://docs.google.com/spreadsheets/d/1eHaY18a8A9IcSdp1K8H6x8fbOy06t2VsZHhMHf-1x7Y/edit?usp=sharing"",""แผน!GX82"")"),0)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IFERROR(__xludf.DUMMYFUNCTION("IMPORTRANGE(""https://docs.google.com/spreadsheets/d/1eHaY18a8A9IcSdp1K8H6x8fbOy06t2VsZHhMHf-1x7Y/edit?usp=sharing"",""แผน!GY82"")"),0)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IFERROR(__xludf.DUMMYFUNCTION("IMPORTRANGE(""https://docs.google.com/spreadsheets/d/1eHaY18a8A9IcSdp1K8H6x8fbOy06t2VsZHhMHf-1x7Y/edit?usp=sharing"",""แผน!GZ82"")"),0)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IFERROR(__xludf.DUMMYFUNCTION("IMPORTRANGE(""https://docs.google.com/spreadsheets/d/1eHaY18a8A9IcSdp1K8H6x8fbOy06t2VsZHhMHf-1x7Y/edit?usp=sharing"",""แผน!HA82"")"),0)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IFERROR(__xludf.DUMMYFUNCTION("IMPORTRANGE(""https://docs.google.com/spreadsheets/d/1eHaY18a8A9IcSdp1K8H6x8fbOy06t2VsZHhMHf-1x7Y/edit?usp=sharing"",""แผน!HB82"")"),0)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IFERROR(__xludf.DUMMYFUNCTION("IMPORTRANGE(""https://docs.google.com/spreadsheets/d/1eHaY18a8A9IcSdp1K8H6x8fbOy06t2VsZHhMHf-1x7Y/edit?usp=sharing"",""แผน!HC82"")"),0)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7"/>
      <c r="M510" s="836"/>
      <c r="N510" s="836"/>
      <c r="O510" s="836"/>
      <c r="P510" s="836"/>
      <c r="Q510" s="836"/>
      <c r="R510" s="836"/>
      <c r="S510" s="836"/>
      <c r="T510" s="836"/>
      <c r="U510" s="836"/>
    </row>
    <row r="511" spans="1:21" ht="19.5" hidden="1" x14ac:dyDescent="0.3">
      <c r="A511" s="835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4" t="s">
        <v>207</v>
      </c>
      <c r="C512" s="372"/>
      <c r="D512" s="373"/>
      <c r="E512" s="373"/>
      <c r="F512" s="373"/>
      <c r="G512" s="374"/>
      <c r="H512" s="833" t="s">
        <v>61</v>
      </c>
      <c r="I512" s="832">
        <f>I524</f>
        <v>0</v>
      </c>
      <c r="J512" s="832">
        <f>J524</f>
        <v>0</v>
      </c>
      <c r="K512" s="831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30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9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9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8" t="s">
        <v>209</v>
      </c>
      <c r="E524" s="264"/>
      <c r="F524" s="1"/>
      <c r="G524" s="53"/>
      <c r="H524" s="827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IFERROR(__xludf.DUMMYFUNCTION("IMPORTRANGE(""https://docs.google.com/spreadsheets/d/1-uDff_7J0KD5mKrp0Vvzr7lt3OU09vwQwhkpOPPYv2Y/edit?usp=sharing"",""งบพรบ!FW82"")"),0)</f>
        <v>0</v>
      </c>
      <c r="M539" s="47">
        <f ca="1">IFERROR(__xludf.DUMMYFUNCTION("IMPORTRANGE(""https://docs.google.com/spreadsheets/d/1-uDff_7J0KD5mKrp0Vvzr7lt3OU09vwQwhkpOPPYv2Y/edit?usp=sharing"",""งบพรบ!GB82"")"),0)</f>
        <v>0</v>
      </c>
      <c r="N539" s="47">
        <f ca="1">IFERROR(__xludf.DUMMYFUNCTION("IMPORTRANGE(""https://docs.google.com/spreadsheets/d/1-uDff_7J0KD5mKrp0Vvzr7lt3OU09vwQwhkpOPPYv2Y/edit?usp=sharing"",""งบพรบ!GD82"")"),0)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IFERROR(__xludf.DUMMYFUNCTION("IMPORTRANGE(""https://docs.google.com/spreadsheets/d/1-uDff_7J0KD5mKrp0Vvzr7lt3OU09vwQwhkpOPPYv2Y/edit?usp=sharing"",""งบพรบ!FZ82"")"),0)</f>
        <v>0</v>
      </c>
      <c r="M542" s="47">
        <f ca="1">IFERROR(__xludf.DUMMYFUNCTION("IMPORTRANGE(""https://docs.google.com/spreadsheets/d/1-uDff_7J0KD5mKrp0Vvzr7lt3OU09vwQwhkpOPPYv2Y/edit?usp=sharing"",""งบพรบ!GC82"")"),0)</f>
        <v>0</v>
      </c>
      <c r="N542" s="47">
        <f ca="1">IFERROR(__xludf.DUMMYFUNCTION("IMPORTRANGE(""https://docs.google.com/spreadsheets/d/1-uDff_7J0KD5mKrp0Vvzr7lt3OU09vwQwhkpOPPYv2Y/edit?usp=sharing"",""งบพรบ!GE82"")"),0)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IFERROR(__xludf.DUMMYFUNCTION("IMPORTRANGE(""https://docs.google.com/spreadsheets/d/1-uDff_7J0KD5mKrp0Vvzr7lt3OU09vwQwhkpOPPYv2Y/edit?usp=sharing"",""งบพรบ!GG82"")"),0)</f>
        <v>0</v>
      </c>
      <c r="M560" s="47">
        <f ca="1">IFERROR(__xludf.DUMMYFUNCTION("IMPORTRANGE(""https://docs.google.com/spreadsheets/d/1-uDff_7J0KD5mKrp0Vvzr7lt3OU09vwQwhkpOPPYv2Y/edit?usp=sharing"",""งบพรบ!GL82"")"),0)</f>
        <v>0</v>
      </c>
      <c r="N560" s="47">
        <f ca="1">IFERROR(__xludf.DUMMYFUNCTION("IMPORTRANGE(""https://docs.google.com/spreadsheets/d/1-uDff_7J0KD5mKrp0Vvzr7lt3OU09vwQwhkpOPPYv2Y/edit?usp=sharing"",""งบพรบ!GN82"")"),0)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IFERROR(__xludf.DUMMYFUNCTION("IMPORTRANGE(""https://docs.google.com/spreadsheets/d/1-uDff_7J0KD5mKrp0Vvzr7lt3OU09vwQwhkpOPPYv2Y/edit?usp=sharing"",""งบพรบ!GJ82"")"),0)</f>
        <v>0</v>
      </c>
      <c r="M563" s="47">
        <f ca="1">IFERROR(__xludf.DUMMYFUNCTION("IMPORTRANGE(""https://docs.google.com/spreadsheets/d/1-uDff_7J0KD5mKrp0Vvzr7lt3OU09vwQwhkpOPPYv2Y/edit?usp=sharing"",""งบพรบ!GM82"")"),0)</f>
        <v>0</v>
      </c>
      <c r="N563" s="47">
        <f ca="1">IFERROR(__xludf.DUMMYFUNCTION("IMPORTRANGE(""https://docs.google.com/spreadsheets/d/1-uDff_7J0KD5mKrp0Vvzr7lt3OU09vwQwhkpOPPYv2Y/edit?usp=sharing"",""งบพรบ!GO82"")"),0)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7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394333</v>
      </c>
      <c r="M576" s="132">
        <f ca="1">M577+M578</f>
        <v>394333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394333</v>
      </c>
      <c r="M578" s="47">
        <f ca="1">M581+M584</f>
        <v>394333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394333</v>
      </c>
      <c r="M579" s="47">
        <f ca="1">M580+M581</f>
        <v>394333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IFERROR(__xludf.DUMMYFUNCTION("IMPORTRANGE(""https://docs.google.com/spreadsheets/d/1-uDff_7J0KD5mKrp0Vvzr7lt3OU09vwQwhkpOPPYv2Y/edit?usp=sharing"",""งบพรบ!GQ82"")"),394333)</f>
        <v>394333</v>
      </c>
      <c r="M581" s="47">
        <f ca="1">IFERROR(__xludf.DUMMYFUNCTION("IMPORTRANGE(""https://docs.google.com/spreadsheets/d/1-uDff_7J0KD5mKrp0Vvzr7lt3OU09vwQwhkpOPPYv2Y/edit?usp=sharing"",""งบพรบ!GV82"")"),394333)</f>
        <v>394333</v>
      </c>
      <c r="N581" s="47">
        <f ca="1">IFERROR(__xludf.DUMMYFUNCTION("IMPORTRANGE(""https://docs.google.com/spreadsheets/d/1-uDff_7J0KD5mKrp0Vvzr7lt3OU09vwQwhkpOPPYv2Y/edit?usp=sharing"",""งบพรบ!GX82"")"),0)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IFERROR(__xludf.DUMMYFUNCTION("IMPORTRANGE(""https://docs.google.com/spreadsheets/d/1-uDff_7J0KD5mKrp0Vvzr7lt3OU09vwQwhkpOPPYv2Y/edit?usp=sharing"",""งบพรบ!GT82"")"),0)</f>
        <v>0</v>
      </c>
      <c r="M584" s="47">
        <f ca="1">IFERROR(__xludf.DUMMYFUNCTION("IMPORTRANGE(""https://docs.google.com/spreadsheets/d/1-uDff_7J0KD5mKrp0Vvzr7lt3OU09vwQwhkpOPPYv2Y/edit?usp=sharing"",""งบพรบ!GW82"")"),0)</f>
        <v>0</v>
      </c>
      <c r="N584" s="47">
        <f ca="1">IFERROR(__xludf.DUMMYFUNCTION("IMPORTRANGE(""https://docs.google.com/spreadsheets/d/1-uDff_7J0KD5mKrp0Vvzr7lt3OU09vwQwhkpOPPYv2Y/edit?usp=sharing"",""งบพรบ!GY82"")"),0)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4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7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IFERROR(__xludf.DUMMYFUNCTION("IMPORTRANGE(""https://docs.google.com/spreadsheets/d/1-uDff_7J0KD5mKrp0Vvzr7lt3OU09vwQwhkpOPPYv2Y/edit?usp=sharing"",""งบพรบ!HK82"")"),0)</f>
        <v>0</v>
      </c>
      <c r="M604" s="47">
        <f ca="1">IFERROR(__xludf.DUMMYFUNCTION("IMPORTRANGE(""https://docs.google.com/spreadsheets/d/1-uDff_7J0KD5mKrp0Vvzr7lt3OU09vwQwhkpOPPYv2Y/edit?usp=sharing"",""งบพรบ!HP82"")"),0)</f>
        <v>0</v>
      </c>
      <c r="N604" s="47">
        <f ca="1">IFERROR(__xludf.DUMMYFUNCTION("IMPORTRANGE(""https://docs.google.com/spreadsheets/d/1-uDff_7J0KD5mKrp0Vvzr7lt3OU09vwQwhkpOPPYv2Y/edit?usp=sharing"",""งบพรบ!HR82"")"),0)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IFERROR(__xludf.DUMMYFUNCTION("IMPORTRANGE(""https://docs.google.com/spreadsheets/d/1ItG2mGa2ceCfYo0BwxsXqNm01IGEUdYcSSLTEv9YCik/edit?usp=sharing"",""เบิกจ่ายกองทุน!AV82"")"),0)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IFERROR(__xludf.DUMMYFUNCTION("IMPORTRANGE(""https://docs.google.com/spreadsheets/d/1ItG2mGa2ceCfYo0BwxsXqNm01IGEUdYcSSLTEv9YCik/edit?usp=sharing"",""เบิกจ่ายกองทุน!AW82"")"),0)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IFERROR(__xludf.DUMMYFUNCTION("IMPORTRANGE(""https://docs.google.com/spreadsheets/d/1ItG2mGa2ceCfYo0BwxsXqNm01IGEUdYcSSLTEv9YCik/edit?usp=sharing"",""เบิกจ่ายกองทุน!AX82"")"),0)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IFERROR(__xludf.DUMMYFUNCTION("IMPORTRANGE(""https://docs.google.com/spreadsheets/d/1-uDff_7J0KD5mKrp0Vvzr7lt3OU09vwQwhkpOPPYv2Y/edit?usp=sharing"",""งบพรบ!HN82"")"),0)</f>
        <v>0</v>
      </c>
      <c r="M607" s="47">
        <f ca="1">IFERROR(__xludf.DUMMYFUNCTION("IMPORTRANGE(""https://docs.google.com/spreadsheets/d/1-uDff_7J0KD5mKrp0Vvzr7lt3OU09vwQwhkpOPPYv2Y/edit?usp=sharing"",""งบพรบ!HQ82"")"),0)</f>
        <v>0</v>
      </c>
      <c r="N607" s="47">
        <f ca="1">IFERROR(__xludf.DUMMYFUNCTION("IMPORTRANGE(""https://docs.google.com/spreadsheets/d/1-uDff_7J0KD5mKrp0Vvzr7lt3OU09vwQwhkpOPPYv2Y/edit?usp=sharing"",""งบพรบ!HS82"")"),0)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IFERROR(__xludf.DUMMYFUNCTION("IMPORTRANGE(""https://docs.google.com/spreadsheets/d/1ItG2mGa2ceCfYo0BwxsXqNm01IGEUdYcSSLTEv9YCik/edit?usp=sharing"",""เบิกจ่ายกองทุน!AY82"")"),0)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IFERROR(__xludf.DUMMYFUNCTION("IMPORTRANGE(""https://docs.google.com/spreadsheets/d/1ItG2mGa2ceCfYo0BwxsXqNm01IGEUdYcSSLTEv9YCik/edit?usp=sharing"",""เบิกจ่ายกองทุน!AZ82"")"),0)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IFERROR(__xludf.DUMMYFUNCTION("IMPORTRANGE(""https://docs.google.com/spreadsheets/d/1ItG2mGa2ceCfYo0BwxsXqNm01IGEUdYcSSLTEv9YCik/edit?usp=sharing"",""เบิกจ่ายกองทุน!BA82"")"),0)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6775</v>
      </c>
      <c r="R616" s="132">
        <f ca="1">R617+R618</f>
        <v>6775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6775</v>
      </c>
      <c r="R618" s="47">
        <f ca="1">R621+R624</f>
        <v>6775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6775</v>
      </c>
      <c r="R619" s="47">
        <f ca="1">R620+R621</f>
        <v>6775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IFERROR(__xludf.DUMMYFUNCTION("IMPORTRANGE(""https://docs.google.com/spreadsheets/d/1ItG2mGa2ceCfYo0BwxsXqNm01IGEUdYcSSLTEv9YCik/edit?usp=sharing"",""เบิกจ่ายกองทุน!G82"")"),6775)</f>
        <v>6775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IFERROR(__xludf.DUMMYFUNCTION("IMPORTRANGE(""https://docs.google.com/spreadsheets/d/1eHaY18a8A9IcSdp1K8H6x8fbOy06t2VsZHhMHf-1x7Y/edit?usp=sharing"",""แผน!ID82"")"),50)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IFERROR(__xludf.DUMMYFUNCTION("IMPORTRANGE(""https://docs.google.com/spreadsheets/d/1eHaY18a8A9IcSdp1K8H6x8fbOy06t2VsZHhMHf-1x7Y/edit?usp=sharing"",""แผน!IC82"")"),0)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IFERROR(__xludf.DUMMYFUNCTION("IMPORTRANGE(""https://docs.google.com/spreadsheets/d/1eHaY18a8A9IcSdp1K8H6x8fbOy06t2VsZHhMHf-1x7Y/edit?usp=sharing"",""แผน!IE82"")"),0)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IFERROR(__xludf.DUMMYFUNCTION("IMPORTRANGE(""https://docs.google.com/spreadsheets/d/1eHaY18a8A9IcSdp1K8H6x8fbOy06t2VsZHhMHf-1x7Y/edit?usp=sharing"",""แผน!IF82"")"),0)</f>
        <v>0</v>
      </c>
      <c r="J652" s="15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IFERROR(__xludf.DUMMYFUNCTION("IMPORTRANGE(""https://docs.google.com/spreadsheets/d/1eHaY18a8A9IcSdp1K8H6x8fbOy06t2VsZHhMHf-1x7Y/edit?usp=sharing"",""แผน!IG82"")"),0)</f>
        <v>0</v>
      </c>
      <c r="J653" s="15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IFERROR(__xludf.DUMMYFUNCTION("IMPORTRANGE(""https://docs.google.com/spreadsheets/d/1eHaY18a8A9IcSdp1K8H6x8fbOy06t2VsZHhMHf-1x7Y/edit?usp=sharing"",""แผน!IH82"")"),0)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IFERROR(__xludf.DUMMYFUNCTION("IMPORTRANGE(""https://docs.google.com/spreadsheets/d/1eHaY18a8A9IcSdp1K8H6x8fbOy06t2VsZHhMHf-1x7Y/edit?usp=sharing"",""แผน!II82"")"),0)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IFERROR(__xludf.DUMMYFUNCTION("IMPORTRANGE(""https://docs.google.com/spreadsheets/d/1eHaY18a8A9IcSdp1K8H6x8fbOy06t2VsZHhMHf-1x7Y/edit?usp=sharing"",""แผน!IJ82"")"),0)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IFERROR(__xludf.DUMMYFUNCTION("IMPORTRANGE(""https://docs.google.com/spreadsheets/d/1eHaY18a8A9IcSdp1K8H6x8fbOy06t2VsZHhMHf-1x7Y/edit?usp=sharing"",""แผน!IK82"")"),0)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IFERROR(__xludf.DUMMYFUNCTION("IMPORTRANGE(""https://docs.google.com/spreadsheets/d/1eHaY18a8A9IcSdp1K8H6x8fbOy06t2VsZHhMHf-1x7Y/edit?usp=sharing"",""แผน!IL82"")"),0)</f>
        <v>0</v>
      </c>
      <c r="J673" s="15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IFERROR(__xludf.DUMMYFUNCTION("IMPORTRANGE(""https://docs.google.com/spreadsheets/d/1eHaY18a8A9IcSdp1K8H6x8fbOy06t2VsZHhMHf-1x7Y/edit?usp=sharing"",""แผน!IM82"")"),0)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IFERROR(__xludf.DUMMYFUNCTION("IMPORTRANGE(""https://docs.google.com/spreadsheets/d/1eHaY18a8A9IcSdp1K8H6x8fbOy06t2VsZHhMHf-1x7Y/edit?usp=sharing"",""แผน!IN82"")"),0)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IFERROR(__xludf.DUMMYFUNCTION("IMPORTRANGE(""https://docs.google.com/spreadsheets/d/1eHaY18a8A9IcSdp1K8H6x8fbOy06t2VsZHhMHf-1x7Y/edit?usp=sharing"",""แผน!IO82"")"),0)</f>
        <v>0</v>
      </c>
      <c r="J676" s="15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IFERROR(__xludf.DUMMYFUNCTION("IMPORTRANGE(""https://docs.google.com/spreadsheets/d/1eHaY18a8A9IcSdp1K8H6x8fbOy06t2VsZHhMHf-1x7Y/edit?usp=sharing"",""แผน!IP82"")"),0)</f>
        <v>0</v>
      </c>
      <c r="J678" s="15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IFERROR(__xludf.DUMMYFUNCTION("IMPORTRANGE(""https://docs.google.com/spreadsheets/d/1eHaY18a8A9IcSdp1K8H6x8fbOy06t2VsZHhMHf-1x7Y/edit?usp=sharing"",""แผน!IQ82"")"),0)</f>
        <v>0</v>
      </c>
      <c r="J679" s="15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IFERROR(__xludf.DUMMYFUNCTION("IMPORTRANGE(""https://docs.google.com/spreadsheets/d/1eHaY18a8A9IcSdp1K8H6x8fbOy06t2VsZHhMHf-1x7Y/edit?usp=sharing"",""แผน!IR82"")"),0)</f>
        <v>0</v>
      </c>
      <c r="J681" s="15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IFERROR(__xludf.DUMMYFUNCTION("IMPORTRANGE(""https://docs.google.com/spreadsheets/d/1eHaY18a8A9IcSdp1K8H6x8fbOy06t2VsZHhMHf-1x7Y/edit?usp=sharing"",""แผน!IS82"")"),0)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67330</v>
      </c>
      <c r="R690" s="132">
        <f ca="1">R691+R692</f>
        <v>67330</v>
      </c>
      <c r="S690" s="132">
        <f ca="1">S691+S692</f>
        <v>14378.83</v>
      </c>
      <c r="T690" s="132">
        <f ca="1">IF(Q690&gt;0,S690*100/Q690,0)</f>
        <v>21.355755235407692</v>
      </c>
      <c r="U690" s="132">
        <f ca="1">IF(R690&gt;0,S690*100/R690,0)</f>
        <v>21.355755235407692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67330</v>
      </c>
      <c r="R692" s="47">
        <f ca="1">R695+R698</f>
        <v>67330</v>
      </c>
      <c r="S692" s="47">
        <f ca="1">S695+S698</f>
        <v>14378.83</v>
      </c>
      <c r="T692" s="47">
        <f ca="1">IF(Q692&gt;0,S692*100/Q692,0)</f>
        <v>21.355755235407692</v>
      </c>
      <c r="U692" s="47">
        <f ca="1">IF(R692&gt;0,S692*100/R692,0)</f>
        <v>21.355755235407692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67330</v>
      </c>
      <c r="R693" s="47">
        <f ca="1">R694+R695</f>
        <v>67330</v>
      </c>
      <c r="S693" s="47">
        <f ca="1">S694+S695</f>
        <v>14378.83</v>
      </c>
      <c r="T693" s="47">
        <f ca="1">IF(Q693&gt;0,S693*100/Q693,0)</f>
        <v>21.355755235407692</v>
      </c>
      <c r="U693" s="47">
        <f ca="1">IF(R693&gt;0,S693*100/R693,0)</f>
        <v>21.355755235407692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5" s="47">
        <f ca="1">IFERROR(__xludf.DUMMYFUNCTION("IMPORTRANGE(""https://docs.google.com/spreadsheets/d/1ItG2mGa2ceCfYo0BwxsXqNm01IGEUdYcSSLTEv9YCik/edit?usp=sharing"",""เบิกจ่ายกองทุน!N82"")"),14378.83)</f>
        <v>14378.83</v>
      </c>
      <c r="T695" s="47">
        <f ca="1">IF(Q695&gt;0,S695*100/Q695,0)</f>
        <v>21.355755235407692</v>
      </c>
      <c r="U695" s="47">
        <f ca="1">IF(R695&gt;0,S695*100/R695,0)</f>
        <v>21.355755235407692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IFERROR(__xludf.DUMMYFUNCTION("IMPORTRANGE(""https://docs.google.com/spreadsheets/d/1eHaY18a8A9IcSdp1K8H6x8fbOy06t2VsZHhMHf-1x7Y/edit?usp=sharing"",""แผน!LC82"")"),0)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IFERROR(__xludf.DUMMYFUNCTION("IMPORTRANGE(""https://docs.google.com/spreadsheets/d/1eHaY18a8A9IcSdp1K8H6x8fbOy06t2VsZHhMHf-1x7Y/edit?usp=sharing"",""แผน!LJ82"")"),0)</f>
        <v>0</v>
      </c>
      <c r="J703" s="15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IFERROR(__xludf.DUMMYFUNCTION("IMPORTRANGE(""https://docs.google.com/spreadsheets/d/1eHaY18a8A9IcSdp1K8H6x8fbOy06t2VsZHhMHf-1x7Y/edit?usp=sharing"",""แผน!LK82"")"),3)</f>
        <v>3</v>
      </c>
      <c r="J705" s="152">
        <f ca="1">IFERROR(__xludf.DUMMYFUNCTION("IMPORTRANGE(""https://docs.google.com/spreadsheets/d/1tdoBKaGub7dwA3U6UFTqxio9LNnvDCQjHKmttSEBsFQ/edit?usp=sharing"",""จัดที่ดิน!AR82"")"),0)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IFERROR(__xludf.DUMMYFUNCTION("IMPORTRANGE(""https://docs.google.com/spreadsheets/d/1eHaY18a8A9IcSdp1K8H6x8fbOy06t2VsZHhMHf-1x7Y/edit?usp=sharing"",""แผน!LJ82"")"),0)</f>
        <v>0</v>
      </c>
      <c r="J707" s="15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IFERROR(__xludf.DUMMYFUNCTION("IMPORTRANGE(""https://docs.google.com/spreadsheets/d/1eHaY18a8A9IcSdp1K8H6x8fbOy06t2VsZHhMHf-1x7Y/edit?usp=sharing"",""แผน!LK82"")"),3)</f>
        <v>3</v>
      </c>
      <c r="J709" s="15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IFERROR(__xludf.DUMMYFUNCTION("IMPORTRANGE(""https://docs.google.com/spreadsheets/d/1eHaY18a8A9IcSdp1K8H6x8fbOy06t2VsZHhMHf-1x7Y/edit?usp=sharing"",""แผน!GA82"")"),21)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IFERROR(__xludf.DUMMYFUNCTION("IMPORTRANGE(""https://docs.google.com/spreadsheets/d/1eHaY18a8A9IcSdp1K8H6x8fbOy06t2VsZHhMHf-1x7Y/edit?usp=sharing"",""แผน!FZ82"")"),200)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78635</v>
      </c>
      <c r="T728" s="132">
        <f ca="1">IF(Q728&gt;0,S728*100/Q728,0)</f>
        <v>44.680500471606983</v>
      </c>
      <c r="U728" s="132">
        <f ca="1">IF(R728&gt;0,S728*100/R728,0)</f>
        <v>44.680500471606983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78635</v>
      </c>
      <c r="T730" s="47">
        <f ca="1">IF(Q730&gt;0,S730*100/Q730,0)</f>
        <v>44.680500471606983</v>
      </c>
      <c r="U730" s="47">
        <f ca="1">IF(R730&gt;0,S730*100/R730,0)</f>
        <v>44.680500471606983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78635</v>
      </c>
      <c r="T731" s="47">
        <f ca="1">IF(Q731&gt;0,S731*100/Q731,0)</f>
        <v>44.680500471606983</v>
      </c>
      <c r="U731" s="47">
        <f ca="1">IF(R731&gt;0,S731*100/R731,0)</f>
        <v>44.680500471606983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IFERROR(__xludf.DUMMYFUNCTION("IMPORTRANGE(""https://docs.google.com/spreadsheets/d/1ItG2mGa2ceCfYo0BwxsXqNm01IGEUdYcSSLTEv9YCik/edit?usp=sharing"",""เบิกจ่ายกองทุน!Q82"")"),78635)</f>
        <v>78635</v>
      </c>
      <c r="T733" s="47">
        <f ca="1">IF(Q733&gt;0,S733*100/Q733,0)</f>
        <v>44.680500471606983</v>
      </c>
      <c r="U733" s="47">
        <f ca="1">IF(R733&gt;0,S733*100/R733,0)</f>
        <v>44.680500471606983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IFERROR(__xludf.DUMMYFUNCTION("IMPORTRANGE(""https://docs.google.com/spreadsheets/d/1eHaY18a8A9IcSdp1K8H6x8fbOy06t2VsZHhMHf-1x7Y/edit?usp=sharing"",""แผน!GB82"")"),160)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IFERROR(__xludf.DUMMYFUNCTION("IMPORTRANGE(""https://docs.google.com/spreadsheets/d/1eHaY18a8A9IcSdp1K8H6x8fbOy06t2VsZHhMHf-1x7Y/edit?usp=sharing"",""แผน!GC82"")"),16)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IFERROR(__xludf.DUMMYFUNCTION("IMPORTRANGE(""https://docs.google.com/spreadsheets/d/1eHaY18a8A9IcSdp1K8H6x8fbOy06t2VsZHhMHf-1x7Y/edit?usp=sharing"",""แผน!GD82"")"),40)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IFERROR(__xludf.DUMMYFUNCTION("IMPORTRANGE(""https://docs.google.com/spreadsheets/d/1eHaY18a8A9IcSdp1K8H6x8fbOy06t2VsZHhMHf-1x7Y/edit?usp=sharing"",""แผน!GE82"")"),4)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IFERROR(__xludf.DUMMYFUNCTION("IMPORTRANGE(""https://docs.google.com/spreadsheets/d/1eHaY18a8A9IcSdp1K8H6x8fbOy06t2VsZHhMHf-1x7Y/edit?usp=sharing"",""แผน!GF82"")"),1)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IFERROR(__xludf.DUMMYFUNCTION("IMPORTRANGE(""https://docs.google.com/spreadsheets/d/1eHaY18a8A9IcSdp1K8H6x8fbOy06t2VsZHhMHf-1x7Y/edit?usp=sharing"",""แผน!GB82"")"),160)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IFERROR(__xludf.DUMMYFUNCTION("IMPORTRANGE(""https://docs.google.com/spreadsheets/d/1eHaY18a8A9IcSdp1K8H6x8fbOy06t2VsZHhMHf-1x7Y/edit?usp=sharing"",""แผน!GD82"")"),40)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50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100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397800</v>
      </c>
      <c r="R760" s="132">
        <f ca="1">R761+R762</f>
        <v>397800</v>
      </c>
      <c r="S760" s="132">
        <f ca="1">S761+S762</f>
        <v>336450</v>
      </c>
      <c r="T760" s="132">
        <f ca="1">IF(Q760&gt;0,S760*100/Q760,0)</f>
        <v>84.57767722473605</v>
      </c>
      <c r="U760" s="132">
        <f ca="1">IF(R760&gt;0,S760*100/R760,0)</f>
        <v>84.57767722473605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397800</v>
      </c>
      <c r="R762" s="47">
        <f ca="1">R765+R768</f>
        <v>397800</v>
      </c>
      <c r="S762" s="47">
        <f ca="1">S765+S768</f>
        <v>336450</v>
      </c>
      <c r="T762" s="47">
        <f ca="1">IF(Q762&gt;0,S762*100/Q762,0)</f>
        <v>84.57767722473605</v>
      </c>
      <c r="U762" s="47">
        <f ca="1">IF(R762&gt;0,S762*100/R762,0)</f>
        <v>84.57767722473605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397800</v>
      </c>
      <c r="R763" s="47">
        <f ca="1">R764+R765</f>
        <v>397800</v>
      </c>
      <c r="S763" s="47">
        <f ca="1">S764+S765</f>
        <v>336450</v>
      </c>
      <c r="T763" s="47">
        <f ca="1">IF(Q763&gt;0,S763*100/Q763,0)</f>
        <v>84.57767722473605</v>
      </c>
      <c r="U763" s="47">
        <f ca="1">IF(R763&gt;0,S763*100/R763,0)</f>
        <v>84.57767722473605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IFERROR(__xludf.DUMMYFUNCTION("IMPORTRANGE(""https://docs.google.com/spreadsheets/d/1ItG2mGa2ceCfYo0BwxsXqNm01IGEUdYcSSLTEv9YCik/edit?usp=sharing"",""เบิกจ่ายกองทุน!AB82"")"),397800)</f>
        <v>397800</v>
      </c>
      <c r="S765" s="47">
        <f ca="1">IFERROR(__xludf.DUMMYFUNCTION("IMPORTRANGE(""https://docs.google.com/spreadsheets/d/1ItG2mGa2ceCfYo0BwxsXqNm01IGEUdYcSSLTEv9YCik/edit?usp=sharing"",""เบิกจ่ายกองทุน!AC82"")"),336450)</f>
        <v>336450</v>
      </c>
      <c r="T765" s="47">
        <f ca="1">IF(Q765&gt;0,S765*100/Q765,0)</f>
        <v>84.57767722473605</v>
      </c>
      <c r="U765" s="47">
        <f ca="1">IF(R765&gt;0,S765*100/R765,0)</f>
        <v>84.57767722473605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IFERROR(__xludf.DUMMYFUNCTION("IMPORTRANGE(""https://docs.google.com/spreadsheets/d/1eHaY18a8A9IcSdp1K8H6x8fbOy06t2VsZHhMHf-1x7Y/edit?usp=sharing"",""แผน!FI82"")"),1)</f>
        <v>1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IFERROR(__xludf.DUMMYFUNCTION("IMPORTRANGE(""https://docs.google.com/spreadsheets/d/1eHaY18a8A9IcSdp1K8H6x8fbOy06t2VsZHhMHf-1x7Y/edit?usp=sharing"",""แผน!FT82"")"),50)</f>
        <v>50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31 พ.ค. 67)")</f>
        <v>(ข้อมูล ณ 31 พ.ค.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152">
        <f ca="1">IFERROR(__xludf.DUMMYFUNCTION("IMPORTRANGE(""https://docs.google.com/spreadsheets/d/10OvvATaaLtwErnr3qtWFcTmtbfpFEt5Bsqel9sXx0uE/edit?usp=sharing"",""งานกองทุน!F82"")"),1507652.14)</f>
        <v>1507652.14</v>
      </c>
      <c r="K778" s="47">
        <f ca="1">IF(I778&gt;0,J778*100/I778,0)</f>
        <v>104.19596014110201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IFERROR(__xludf.DUMMYFUNCTION("IMPORTRANGE(""https://docs.google.com/spreadsheets/d/10OvvATaaLtwErnr3qtWFcTmtbfpFEt5Bsqel9sXx0uE/edit?usp=sharing"",""งานกองทุน!C82"")"),130)</f>
        <v>130</v>
      </c>
      <c r="J779" s="152">
        <f ca="1">IFERROR(__xludf.DUMMYFUNCTION("IMPORTRANGE(""https://docs.google.com/spreadsheets/d/10OvvATaaLtwErnr3qtWFcTmtbfpFEt5Bsqel9sXx0uE/edit?usp=sharing"",""งานกองทุน!E82"")"),107)</f>
        <v>107</v>
      </c>
      <c r="K779" s="47">
        <f ca="1">IF(I779&gt;0,J779*100/I779,0)</f>
        <v>82.307692307692307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152">
        <f ca="1">IFERROR(__xludf.DUMMYFUNCTION("IMPORTRANGE(""https://docs.google.com/spreadsheets/d/10OvvATaaLtwErnr3qtWFcTmtbfpFEt5Bsqel9sXx0uE/edit?usp=sharing"",""งานกองทุน!K82"")"),65720.47)</f>
        <v>65720.47</v>
      </c>
      <c r="K780" s="47">
        <f ca="1">IF(I780&gt;0,J780*100/I780,0)</f>
        <v>9.040850734118159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IFERROR(__xludf.DUMMYFUNCTION("IMPORTRANGE(""https://docs.google.com/spreadsheets/d/10OvvATaaLtwErnr3qtWFcTmtbfpFEt5Bsqel9sXx0uE/edit?usp=sharing"",""งานกองทุน!H82"")"),50)</f>
        <v>50</v>
      </c>
      <c r="J781" s="152">
        <f ca="1">IFERROR(__xludf.DUMMYFUNCTION("IMPORTRANGE(""https://docs.google.com/spreadsheets/d/10OvvATaaLtwErnr3qtWFcTmtbfpFEt5Bsqel9sXx0uE/edit?usp=sharing"",""งานกองทุน!J82"")"),29)</f>
        <v>29</v>
      </c>
      <c r="K781" s="47">
        <f ca="1">IF(I781&gt;0,J781*100/I781,0)</f>
        <v>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IFERROR(__xludf.DUMMYFUNCTION("IMPORTRANGE(""https://docs.google.com/spreadsheets/d/10OvvATaaLtwErnr3qtWFcTmtbfpFEt5Bsqel9sXx0uE/edit?usp=sharing"",""งานกองทุน!N82"")"),0)</f>
        <v>0</v>
      </c>
      <c r="J782" s="15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IFERROR(__xludf.DUMMYFUNCTION("IMPORTRANGE(""https://docs.google.com/spreadsheets/d/10OvvATaaLtwErnr3qtWFcTmtbfpFEt5Bsqel9sXx0uE/edit?usp=sharing"",""งานกองทุน!M82"")"),0)</f>
        <v>0</v>
      </c>
      <c r="J783" s="15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IFERROR(__xludf.DUMMYFUNCTION("IMPORTRANGE(""https://docs.google.com/spreadsheets/d/10OvvATaaLtwErnr3qtWFcTmtbfpFEt5Bsqel9sXx0uE/edit?usp=sharing"",""งานกองทุน!S82"")"),1624000)</f>
        <v>1624000</v>
      </c>
      <c r="J784" s="152">
        <f ca="1">IFERROR(__xludf.DUMMYFUNCTION("IMPORTRANGE(""https://docs.google.com/spreadsheets/d/10OvvATaaLtwErnr3qtWFcTmtbfpFEt5Bsqel9sXx0uE/edit?usp=sharing"",""งานกองทุน!U82"")"),0)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IFERROR(__xludf.DUMMYFUNCTION("IMPORTRANGE(""https://docs.google.com/spreadsheets/d/10OvvATaaLtwErnr3qtWFcTmtbfpFEt5Bsqel9sXx0uE/edit?usp=sharing"",""งานกองทุน!R82"")"),58)</f>
        <v>58</v>
      </c>
      <c r="J785" s="197">
        <f ca="1">IFERROR(__xludf.DUMMYFUNCTION("IMPORTRANGE(""https://docs.google.com/spreadsheets/d/10OvvATaaLtwErnr3qtWFcTmtbfpFEt5Bsqel9sXx0uE/edit?usp=sharing"",""งานกองทุน!T82"")"),0)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ก.ค. 2567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ก.ค. 67 เวลา 09.30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verticalDpi="597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2024-07-23T02:33:50Z</dcterms:modified>
</cp:coreProperties>
</file>